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edbank-my.sharepoint.com/personal/kaajalr_nedbank_co_za/Documents/Documents/Kaajal Reddy/"/>
    </mc:Choice>
  </mc:AlternateContent>
  <xr:revisionPtr revIDLastSave="73" documentId="13_ncr:1_{7D35DA78-75EF-40CD-AF24-F0DE5FB79878}" xr6:coauthVersionLast="47" xr6:coauthVersionMax="47" xr10:uidLastSave="{D6BF7CAD-6BA3-464A-8DAD-8A87C4852C0F}"/>
  <bookViews>
    <workbookView xWindow="-108" yWindow="-108" windowWidth="23256" windowHeight="12576" activeTab="2" xr2:uid="{00000000-000D-0000-FFFF-FFFF00000000}"/>
  </bookViews>
  <sheets>
    <sheet name="2017" sheetId="1" r:id="rId1"/>
    <sheet name="2018" sheetId="3" r:id="rId2"/>
    <sheet name="2019" sheetId="5" r:id="rId3"/>
    <sheet name="Paleo 2023" sheetId="8" r:id="rId4"/>
    <sheet name="Pension fund calcs" sheetId="7" r:id="rId5"/>
    <sheet name="2018 bonus" sheetId="4" r:id="rId6"/>
    <sheet name="debits" sheetId="2" r:id="rId7"/>
    <sheet name="2020 Bonu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8" l="1"/>
  <c r="C30" i="8"/>
  <c r="B29" i="8"/>
  <c r="B18" i="8"/>
  <c r="G6" i="8"/>
  <c r="D6" i="8"/>
  <c r="B30" i="8"/>
  <c r="B32" i="8" s="1"/>
  <c r="B16" i="8"/>
  <c r="B14" i="8"/>
  <c r="B7" i="8"/>
  <c r="C7" i="8" s="1"/>
  <c r="F5" i="8"/>
  <c r="F4" i="8"/>
  <c r="C4" i="8"/>
  <c r="H4" i="8" s="1"/>
  <c r="H3" i="8"/>
  <c r="F3" i="8"/>
  <c r="C3" i="8"/>
  <c r="D3" i="8" s="1"/>
  <c r="F2" i="8"/>
  <c r="F6" i="8" s="1"/>
  <c r="C2" i="8"/>
  <c r="H2" i="8" s="1"/>
  <c r="B8" i="5"/>
  <c r="E25" i="5"/>
  <c r="E26" i="5" s="1"/>
  <c r="B14" i="5"/>
  <c r="D19" i="5" s="1"/>
  <c r="F14" i="5"/>
  <c r="S19" i="5"/>
  <c r="S20" i="5" s="1"/>
  <c r="S21" i="5" s="1"/>
  <c r="N27" i="5"/>
  <c r="N28" i="5" s="1"/>
  <c r="D2" i="8" l="1"/>
  <c r="D4" i="8"/>
  <c r="F3" i="5"/>
  <c r="I10" i="5"/>
  <c r="F15" i="7"/>
  <c r="F18" i="7" s="1"/>
  <c r="F19" i="7" s="1"/>
  <c r="B15" i="7"/>
  <c r="B18" i="7" s="1"/>
  <c r="B19" i="7" s="1"/>
  <c r="C14" i="7"/>
  <c r="D14" i="7"/>
  <c r="E14" i="7"/>
  <c r="F14" i="7"/>
  <c r="B14" i="7"/>
  <c r="B11" i="7"/>
  <c r="C15" i="7" s="1"/>
  <c r="C18" i="7" s="1"/>
  <c r="C19" i="7" s="1"/>
  <c r="B5" i="7"/>
  <c r="B6" i="7" s="1"/>
  <c r="B7" i="7" s="1"/>
  <c r="O17" i="5"/>
  <c r="B28" i="5"/>
  <c r="F7" i="8" l="1"/>
  <c r="C20" i="7"/>
  <c r="F20" i="7"/>
  <c r="B20" i="7"/>
  <c r="F22" i="7"/>
  <c r="C22" i="7"/>
  <c r="E15" i="7"/>
  <c r="E18" i="7" s="1"/>
  <c r="E19" i="7" s="1"/>
  <c r="E22" i="7" s="1"/>
  <c r="D15" i="7"/>
  <c r="D18" i="7" s="1"/>
  <c r="D19" i="7" s="1"/>
  <c r="D22" i="7" s="1"/>
  <c r="G9" i="5"/>
  <c r="B15" i="5" l="1"/>
  <c r="C21" i="5"/>
  <c r="D20" i="7"/>
  <c r="E20" i="7"/>
  <c r="F9" i="5"/>
  <c r="B17" i="5" l="1"/>
  <c r="D16" i="5" l="1"/>
  <c r="D15" i="5"/>
  <c r="B18" i="6" l="1"/>
  <c r="B14" i="6"/>
  <c r="B23" i="6" s="1"/>
  <c r="E18" i="5" l="1"/>
  <c r="I16" i="5" l="1"/>
  <c r="I18" i="5" l="1"/>
  <c r="I19" i="5" s="1"/>
  <c r="I20" i="5" s="1"/>
  <c r="I23" i="5" l="1"/>
  <c r="I24" i="5"/>
  <c r="B20" i="5" l="1"/>
  <c r="O21" i="3" l="1"/>
  <c r="M53" i="3" l="1"/>
  <c r="N55" i="3" l="1"/>
  <c r="N52" i="3"/>
  <c r="O41" i="3"/>
  <c r="O34" i="3"/>
  <c r="M44" i="3" l="1"/>
  <c r="O18" i="3" l="1"/>
  <c r="M20" i="3" l="1"/>
  <c r="M19" i="3"/>
  <c r="B23" i="4" l="1"/>
  <c r="B2" i="4"/>
  <c r="B11" i="4" s="1"/>
  <c r="B13" i="4" s="1"/>
  <c r="B24" i="4" l="1"/>
  <c r="M11" i="3"/>
  <c r="M13" i="3" l="1"/>
  <c r="E31" i="3"/>
  <c r="B29" i="3"/>
  <c r="B31" i="3" s="1"/>
  <c r="B34" i="3" s="1"/>
  <c r="D25" i="3"/>
  <c r="B25" i="3"/>
  <c r="A25" i="3"/>
  <c r="D24" i="3"/>
  <c r="B24" i="3"/>
  <c r="A24" i="3"/>
  <c r="D23" i="3"/>
  <c r="B23" i="3"/>
  <c r="A23" i="3"/>
  <c r="B21" i="3"/>
  <c r="B7" i="3"/>
  <c r="B9" i="3" s="1"/>
  <c r="B12" i="3" s="1"/>
  <c r="D26" i="3" l="1"/>
  <c r="B26" i="3"/>
  <c r="M16" i="1"/>
  <c r="M15" i="1"/>
  <c r="M11" i="1" l="1"/>
  <c r="M13" i="1" s="1"/>
  <c r="P19" i="1" l="1"/>
  <c r="N10" i="1" l="1"/>
  <c r="M23" i="1" l="1"/>
  <c r="M24" i="1" s="1"/>
  <c r="B8" i="2" l="1"/>
  <c r="M18" i="1"/>
  <c r="E31" i="1" l="1"/>
  <c r="D25" i="1" l="1"/>
  <c r="D24" i="1"/>
  <c r="D23" i="1"/>
  <c r="D26" i="1" s="1"/>
  <c r="B23" i="1"/>
  <c r="B29" i="1" l="1"/>
  <c r="B31" i="1" s="1"/>
  <c r="B34" i="1" s="1"/>
  <c r="B25" i="1"/>
  <c r="A25" i="1"/>
  <c r="B24" i="1"/>
  <c r="A24" i="1"/>
  <c r="A23" i="1"/>
  <c r="B21" i="1"/>
  <c r="B26" i="1" l="1"/>
  <c r="M19" i="1"/>
  <c r="M20" i="1" s="1"/>
  <c r="B7" i="1"/>
  <c r="B9" i="1" s="1"/>
  <c r="B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Reddy, K. (Kaajal)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Reddy, K. (Kaajal):</t>
        </r>
        <r>
          <rPr>
            <sz val="9"/>
            <color indexed="81"/>
            <rFont val="Tahoma"/>
            <family val="2"/>
          </rPr>
          <t xml:space="preserve">
Incl bonus of 80k</t>
        </r>
      </text>
    </comment>
    <comment ref="M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Reddy, K. (Kaajal):</t>
        </r>
        <r>
          <rPr>
            <sz val="9"/>
            <color indexed="81"/>
            <rFont val="Tahoma"/>
            <family val="2"/>
          </rPr>
          <t xml:space="preserve">
1st installment is R7027,74 and is due to go off on 20/11/2017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Reddy, K. (Kaajal)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Reddy, K. (Kaajal):</t>
        </r>
        <r>
          <rPr>
            <sz val="9"/>
            <color indexed="81"/>
            <rFont val="Tahoma"/>
            <family val="2"/>
          </rPr>
          <t xml:space="preserve">
Incl bonus of 80k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Reddy, K. (Kaajal)</author>
  </authors>
  <commentList>
    <comment ref="B6" authorId="0" shapeId="0" xr:uid="{47EB1F2D-4347-4172-9AE4-D8CF1D957403}">
      <text>
        <r>
          <rPr>
            <b/>
            <sz val="9"/>
            <color indexed="81"/>
            <rFont val="Tahoma"/>
            <family val="2"/>
          </rPr>
          <t>Reddy, K. (Kaajal):</t>
        </r>
        <r>
          <rPr>
            <sz val="9"/>
            <color indexed="81"/>
            <rFont val="Tahoma"/>
            <family val="2"/>
          </rPr>
          <t xml:space="preserve">
600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Reddy, K. (Kaajal)</author>
  </authors>
  <commentList>
    <comment ref="D12" authorId="0" shapeId="0" xr:uid="{05F63A15-A871-4830-92E0-4EA8065BECBF}">
      <text>
        <r>
          <rPr>
            <b/>
            <sz val="9"/>
            <color indexed="81"/>
            <rFont val="Tahoma"/>
            <family val="2"/>
          </rPr>
          <t>Reddy, K. (Kaajal):</t>
        </r>
        <r>
          <rPr>
            <sz val="9"/>
            <color indexed="81"/>
            <rFont val="Tahoma"/>
            <family val="2"/>
          </rPr>
          <t xml:space="preserve">
Ideal contribution amount</t>
        </r>
      </text>
    </comment>
  </commentList>
</comments>
</file>

<file path=xl/sharedStrings.xml><?xml version="1.0" encoding="utf-8"?>
<sst xmlns="http://schemas.openxmlformats.org/spreadsheetml/2006/main" count="345" uniqueCount="176">
  <si>
    <t>credit card</t>
  </si>
  <si>
    <t>debits</t>
  </si>
  <si>
    <t>car</t>
  </si>
  <si>
    <t>insur</t>
  </si>
  <si>
    <t>Bal</t>
  </si>
  <si>
    <t>Pay to Deran</t>
  </si>
  <si>
    <t>Add pay to credit card</t>
  </si>
  <si>
    <t>Note</t>
  </si>
  <si>
    <t>Medical aid (767,50) paid from current to credit card on 20/01</t>
  </si>
  <si>
    <t>done, 20/01</t>
  </si>
  <si>
    <t>itansact</t>
  </si>
  <si>
    <t>insurance</t>
  </si>
  <si>
    <t>Credit card</t>
  </si>
  <si>
    <t>PPS</t>
  </si>
  <si>
    <t>Marriott</t>
  </si>
  <si>
    <t>Viva</t>
  </si>
  <si>
    <t>salary</t>
  </si>
  <si>
    <t>done, 22/01</t>
  </si>
  <si>
    <t>done, 21/01</t>
  </si>
  <si>
    <t>Investments</t>
  </si>
  <si>
    <t>iTransact</t>
  </si>
  <si>
    <t>Credit card d/o</t>
  </si>
  <si>
    <t>2017 rates</t>
  </si>
  <si>
    <t>Insurance</t>
  </si>
  <si>
    <t>Gym</t>
  </si>
  <si>
    <t>Total</t>
  </si>
  <si>
    <t>Payment dates</t>
  </si>
  <si>
    <t>Jan</t>
  </si>
  <si>
    <t>Feb potential allocation</t>
  </si>
  <si>
    <t>Salary</t>
  </si>
  <si>
    <t>Water &amp; elec.</t>
  </si>
  <si>
    <t>Bal before credit card pmt</t>
  </si>
  <si>
    <t>Pay cc</t>
  </si>
  <si>
    <t>Owing on cc</t>
  </si>
  <si>
    <t>Bal owing on cc</t>
  </si>
  <si>
    <t>less d/o on cc</t>
  </si>
  <si>
    <t>done 21/02</t>
  </si>
  <si>
    <t>Had to pay Lancet (849,10) and pay for flights (R4k) on 23/02</t>
  </si>
  <si>
    <t>Lancet</t>
  </si>
  <si>
    <t>Flights</t>
  </si>
  <si>
    <t>Mar potential allocation</t>
  </si>
  <si>
    <t>done 20/03</t>
  </si>
  <si>
    <t>done</t>
  </si>
  <si>
    <t>spending for US</t>
  </si>
  <si>
    <r>
      <t>need to keep</t>
    </r>
    <r>
      <rPr>
        <sz val="11"/>
        <color rgb="FFFF0000"/>
        <rFont val="Calibri"/>
        <family val="2"/>
        <scheme val="minor"/>
      </rPr>
      <t xml:space="preserve"> 6.5</t>
    </r>
    <r>
      <rPr>
        <sz val="11"/>
        <color theme="1"/>
        <rFont val="Calibri"/>
        <family val="2"/>
        <scheme val="minor"/>
      </rPr>
      <t xml:space="preserve"> in savvy for debits to go off</t>
    </r>
  </si>
  <si>
    <t>Plan - transfer 50k to savings account. - done 22/03</t>
  </si>
  <si>
    <t>22/03/2017</t>
  </si>
  <si>
    <t>Savings account:</t>
  </si>
  <si>
    <t>53 transferred</t>
  </si>
  <si>
    <t>50k for deposit on car</t>
  </si>
  <si>
    <t>3k for US spending</t>
  </si>
  <si>
    <t>Require 6.5k for tickets at Universal studios</t>
  </si>
  <si>
    <t>XX for accommodation in Orlando</t>
  </si>
  <si>
    <t>-2,779.62</t>
  </si>
  <si>
    <t>+ Mazda insurance</t>
  </si>
  <si>
    <t>+ Mazda instalment</t>
  </si>
  <si>
    <t>Debits to go off for Nov</t>
  </si>
  <si>
    <t>Gap cover</t>
  </si>
  <si>
    <t>Audi</t>
  </si>
  <si>
    <t>RA</t>
  </si>
  <si>
    <t>Paid</t>
  </si>
  <si>
    <t>Debits</t>
  </si>
  <si>
    <t>R732.05</t>
  </si>
  <si>
    <t>R2 174.88</t>
  </si>
  <si>
    <t>R355.00</t>
  </si>
  <si>
    <t>R1 500.00</t>
  </si>
  <si>
    <t>R6 954.78</t>
  </si>
  <si>
    <t>Mazda instalment</t>
  </si>
  <si>
    <t>Balance</t>
  </si>
  <si>
    <t>Pay credit card</t>
  </si>
  <si>
    <t>-20000</t>
  </si>
  <si>
    <t>Amount that needs to remain in Savvy account</t>
  </si>
  <si>
    <t>Transfer R55k to savings account on 20 March</t>
  </si>
  <si>
    <t>** Vat adjusted</t>
  </si>
  <si>
    <t>Transferred R8k to savings account om 4 April</t>
  </si>
  <si>
    <t>Balance in savings acc: R113k</t>
  </si>
  <si>
    <t>50k of this 113k is kept aside for transfer duties</t>
  </si>
  <si>
    <t>Remained: R63k</t>
  </si>
  <si>
    <t>April</t>
  </si>
  <si>
    <t>Mazda</t>
  </si>
  <si>
    <t>Still to go off</t>
  </si>
  <si>
    <t>Echelon</t>
  </si>
  <si>
    <t>Total Debits</t>
  </si>
  <si>
    <t>20 of the month</t>
  </si>
  <si>
    <t>Other debit orders</t>
  </si>
  <si>
    <t xml:space="preserve">1st </t>
  </si>
  <si>
    <t>25th</t>
  </si>
  <si>
    <t>Bond</t>
  </si>
  <si>
    <t>Home loan</t>
  </si>
  <si>
    <t xml:space="preserve">Salary </t>
  </si>
  <si>
    <t>Homeloan</t>
  </si>
  <si>
    <t>Allan Gray</t>
  </si>
  <si>
    <t>21st</t>
  </si>
  <si>
    <t>20th</t>
  </si>
  <si>
    <t>2nd</t>
  </si>
  <si>
    <t>Deran</t>
  </si>
  <si>
    <t>Kaajal</t>
  </si>
  <si>
    <t>Total debits</t>
  </si>
  <si>
    <t xml:space="preserve">Pay to credit card: </t>
  </si>
  <si>
    <t>Total balance:</t>
  </si>
  <si>
    <t>Payments excl. MFC:</t>
  </si>
  <si>
    <t>Debit order</t>
  </si>
  <si>
    <t>Debits still to go off</t>
  </si>
  <si>
    <t>Balance less 20k</t>
  </si>
  <si>
    <t>total to transfer to Deran</t>
  </si>
  <si>
    <t>total to transfer to credit card</t>
  </si>
  <si>
    <t>transfer to savings account</t>
  </si>
  <si>
    <t>for bank charges</t>
  </si>
  <si>
    <t>bonus</t>
  </si>
  <si>
    <t>Nedbank shares</t>
  </si>
  <si>
    <t>Transfer to Kaajal CC</t>
  </si>
  <si>
    <t>Transfer to Deran CC</t>
  </si>
  <si>
    <t>Mazda service plan</t>
  </si>
  <si>
    <t>Oven</t>
  </si>
  <si>
    <t>Mr Price - house and bedding</t>
  </si>
  <si>
    <t>Curtains</t>
  </si>
  <si>
    <t>Bookshelf</t>
  </si>
  <si>
    <t>Height of package:</t>
  </si>
  <si>
    <t>2.09m</t>
  </si>
  <si>
    <t>Life cover</t>
  </si>
  <si>
    <t>actual: 25k</t>
  </si>
  <si>
    <t>Keep:</t>
  </si>
  <si>
    <t>Guaranteed package</t>
  </si>
  <si>
    <t>Bottom part of payslip: FIXED</t>
  </si>
  <si>
    <t>70% of pensionable salary</t>
  </si>
  <si>
    <t>applying the fixed 7.5% rate</t>
  </si>
  <si>
    <t>diving by 12 months</t>
  </si>
  <si>
    <t>Top part of payslip: VARIABLE</t>
  </si>
  <si>
    <t>Less Funeral Cover</t>
  </si>
  <si>
    <t>Variable interest rate</t>
  </si>
  <si>
    <t>Less FIXED 7.5%</t>
  </si>
  <si>
    <t>Variable interest rate applied</t>
  </si>
  <si>
    <t>Updated pensionable salary</t>
  </si>
  <si>
    <t>Less Superfund lifestyle</t>
  </si>
  <si>
    <t>Less mandatory costs</t>
  </si>
  <si>
    <t>Monthly cost</t>
  </si>
  <si>
    <t>Difference compared to current contibution</t>
  </si>
  <si>
    <t>Total contribution</t>
  </si>
  <si>
    <t>Bonus</t>
  </si>
  <si>
    <t>Meat</t>
  </si>
  <si>
    <t>Paleo</t>
  </si>
  <si>
    <t>Gate</t>
  </si>
  <si>
    <t>Thunder jackets</t>
  </si>
  <si>
    <t>Split</t>
  </si>
  <si>
    <t>Prayer shop</t>
  </si>
  <si>
    <t>Savings</t>
  </si>
  <si>
    <t>Dog Food</t>
  </si>
  <si>
    <t>Saving</t>
  </si>
  <si>
    <t>22500 paid to D, K transferred 24k to cc</t>
  </si>
  <si>
    <t>Gym x2</t>
  </si>
  <si>
    <t>Vitalilty</t>
  </si>
  <si>
    <t>Item</t>
  </si>
  <si>
    <t>Quantity</t>
  </si>
  <si>
    <t>Old Price/ unit</t>
  </si>
  <si>
    <t>New price/ unit</t>
  </si>
  <si>
    <t>Price increase</t>
  </si>
  <si>
    <t>100% chicken 2x750</t>
  </si>
  <si>
    <t>100% Duck 2x750</t>
  </si>
  <si>
    <t>Pure Beef Meal 2x750</t>
  </si>
  <si>
    <t>Pure Chicken and Ostrich</t>
  </si>
  <si>
    <t>Feb salary</t>
  </si>
  <si>
    <t>Difference</t>
  </si>
  <si>
    <t>Deductions</t>
  </si>
  <si>
    <t>Ark doggy boarding</t>
  </si>
  <si>
    <t>Tyres</t>
  </si>
  <si>
    <t>Boundary wall</t>
  </si>
  <si>
    <t>Carpet</t>
  </si>
  <si>
    <t>Jackets for pups</t>
  </si>
  <si>
    <t>Inverter batteries</t>
  </si>
  <si>
    <t>Kaajal's birthday</t>
  </si>
  <si>
    <t>Split between D +  K</t>
  </si>
  <si>
    <t>Paid 50%. Pocket created for the difference</t>
  </si>
  <si>
    <t>To pay to D in March</t>
  </si>
  <si>
    <t>March payment</t>
  </si>
  <si>
    <t>Pocket</t>
  </si>
  <si>
    <t>Paid to Dee on 20/03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</si>
</sst>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&quot;#,##0;[Red]\-&quot;R&quot;#,##0"/>
    <numFmt numFmtId="8" formatCode="&quot;R&quot;#,##0.00;[Red]\-&quot;R&quot;#,##0.00"/>
    <numFmt numFmtId="43" formatCode="_-* #,##0.00_-;\-* #,##0.00_-;_-* &quot;-&quot;??_-;_-@_-"/>
    <numFmt numFmtId="164" formatCode="&quot;R&quot;\ #,##0.00;[Red]&quot;R&quot;\ \-#,##0.00"/>
    <numFmt numFmtId="165" formatCode="_ * #,##0.00_ ;_ * \-#,##0.00_ ;_ * &quot;-&quot;??_ ;_ @_ "/>
    <numFmt numFmtId="166" formatCode="&quot;R&quot;#,##0.00"/>
    <numFmt numFmtId="167" formatCode="0.0%"/>
    <numFmt numFmtId="168" formatCode="_ * #,##0.0_ ;_ * \-#,##0.0_ ;_ * &quot;-&quot;??_ ;_ @_ "/>
    <numFmt numFmtId="169" formatCode="_ * #,##0_ ;_ * \-#,##0_ ;_ * &quot;-&quot;??_ ;_ @_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666666"/>
      <name val="Century Gothic"/>
      <family val="2"/>
    </font>
    <font>
      <strike/>
      <sz val="11"/>
      <name val="Calibri"/>
      <family val="2"/>
      <scheme val="minor"/>
    </font>
    <font>
      <sz val="11"/>
      <color rgb="FF666666"/>
      <name val="Inherit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1" fillId="3" borderId="0" xfId="0" applyFont="1" applyFill="1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3" fillId="0" borderId="0" xfId="0" applyFont="1"/>
    <xf numFmtId="165" fontId="5" fillId="0" borderId="0" xfId="1" applyFont="1"/>
    <xf numFmtId="165" fontId="4" fillId="0" borderId="0" xfId="0" applyNumberFormat="1" applyFont="1"/>
    <xf numFmtId="16" fontId="0" fillId="0" borderId="0" xfId="0" applyNumberForma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quotePrefix="1"/>
    <xf numFmtId="0" fontId="0" fillId="2" borderId="3" xfId="0" applyFill="1" applyBorder="1"/>
    <xf numFmtId="0" fontId="0" fillId="2" borderId="4" xfId="0" applyFill="1" applyBorder="1"/>
    <xf numFmtId="165" fontId="0" fillId="0" borderId="0" xfId="0" applyNumberFormat="1"/>
    <xf numFmtId="0" fontId="0" fillId="4" borderId="0" xfId="0" applyFill="1"/>
    <xf numFmtId="165" fontId="10" fillId="0" borderId="0" xfId="1" applyFont="1"/>
    <xf numFmtId="0" fontId="6" fillId="0" borderId="0" xfId="0" applyFont="1"/>
    <xf numFmtId="0" fontId="6" fillId="0" borderId="0" xfId="0" applyFont="1" applyFill="1"/>
    <xf numFmtId="165" fontId="6" fillId="0" borderId="0" xfId="1" applyFont="1" applyFill="1"/>
    <xf numFmtId="165" fontId="6" fillId="0" borderId="0" xfId="0" applyNumberFormat="1" applyFont="1" applyFill="1"/>
    <xf numFmtId="0" fontId="0" fillId="0" borderId="0" xfId="0" quotePrefix="1" applyFill="1"/>
    <xf numFmtId="0" fontId="5" fillId="0" borderId="0" xfId="0" applyFont="1" applyFill="1"/>
    <xf numFmtId="165" fontId="10" fillId="0" borderId="0" xfId="0" applyNumberFormat="1" applyFont="1" applyFill="1"/>
    <xf numFmtId="0" fontId="6" fillId="5" borderId="0" xfId="0" applyFont="1" applyFill="1"/>
    <xf numFmtId="0" fontId="0" fillId="5" borderId="0" xfId="0" quotePrefix="1" applyFill="1"/>
    <xf numFmtId="165" fontId="3" fillId="5" borderId="0" xfId="1" applyFont="1" applyFill="1"/>
    <xf numFmtId="0" fontId="11" fillId="0" borderId="0" xfId="0" applyFont="1"/>
    <xf numFmtId="0" fontId="6" fillId="6" borderId="0" xfId="0" applyFont="1" applyFill="1"/>
    <xf numFmtId="165" fontId="6" fillId="6" borderId="0" xfId="1" applyFont="1" applyFill="1"/>
    <xf numFmtId="0" fontId="6" fillId="6" borderId="0" xfId="0" quotePrefix="1" applyFont="1" applyFill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0" fillId="0" borderId="0" xfId="0" applyFont="1" applyFill="1"/>
    <xf numFmtId="165" fontId="1" fillId="0" borderId="0" xfId="0" applyNumberFormat="1" applyFont="1"/>
    <xf numFmtId="9" fontId="0" fillId="0" borderId="0" xfId="2" applyFont="1"/>
    <xf numFmtId="164" fontId="4" fillId="0" borderId="0" xfId="0" applyNumberFormat="1" applyFont="1"/>
    <xf numFmtId="164" fontId="12" fillId="0" borderId="0" xfId="0" applyNumberFormat="1" applyFont="1"/>
    <xf numFmtId="164" fontId="0" fillId="0" borderId="0" xfId="0" applyNumberFormat="1"/>
    <xf numFmtId="0" fontId="6" fillId="7" borderId="0" xfId="0" applyFont="1" applyFill="1"/>
    <xf numFmtId="165" fontId="6" fillId="7" borderId="0" xfId="1" applyFont="1" applyFill="1"/>
    <xf numFmtId="0" fontId="0" fillId="7" borderId="0" xfId="0" applyFill="1"/>
    <xf numFmtId="0" fontId="6" fillId="7" borderId="0" xfId="0" quotePrefix="1" applyFont="1" applyFill="1"/>
    <xf numFmtId="0" fontId="0" fillId="0" borderId="0" xfId="0" applyFill="1"/>
    <xf numFmtId="0" fontId="6" fillId="0" borderId="0" xfId="0" quotePrefix="1" applyFont="1" applyFill="1"/>
    <xf numFmtId="0" fontId="5" fillId="2" borderId="0" xfId="0" applyFont="1" applyFill="1"/>
    <xf numFmtId="4" fontId="0" fillId="2" borderId="0" xfId="0" applyNumberFormat="1" applyFill="1"/>
    <xf numFmtId="0" fontId="6" fillId="2" borderId="0" xfId="0" quotePrefix="1" applyFont="1" applyFill="1"/>
    <xf numFmtId="164" fontId="12" fillId="2" borderId="0" xfId="0" applyNumberFormat="1" applyFont="1" applyFill="1"/>
    <xf numFmtId="0" fontId="13" fillId="0" borderId="0" xfId="0" applyFont="1" applyFill="1"/>
    <xf numFmtId="165" fontId="13" fillId="0" borderId="0" xfId="0" applyNumberFormat="1" applyFont="1" applyFill="1"/>
    <xf numFmtId="0" fontId="14" fillId="0" borderId="0" xfId="0" applyFont="1"/>
    <xf numFmtId="0" fontId="15" fillId="0" borderId="0" xfId="0" applyFont="1" applyFill="1"/>
    <xf numFmtId="165" fontId="15" fillId="0" borderId="0" xfId="1" applyFont="1" applyFill="1"/>
    <xf numFmtId="0" fontId="15" fillId="0" borderId="0" xfId="0" quotePrefix="1" applyFont="1" applyFill="1"/>
    <xf numFmtId="0" fontId="15" fillId="8" borderId="0" xfId="0" applyFont="1" applyFill="1"/>
    <xf numFmtId="165" fontId="15" fillId="8" borderId="0" xfId="1" applyFont="1" applyFill="1"/>
    <xf numFmtId="0" fontId="15" fillId="8" borderId="0" xfId="0" quotePrefix="1" applyFont="1" applyFill="1"/>
    <xf numFmtId="0" fontId="0" fillId="8" borderId="0" xfId="0" applyFill="1"/>
    <xf numFmtId="0" fontId="16" fillId="0" borderId="0" xfId="0" applyFont="1" applyFill="1"/>
    <xf numFmtId="165" fontId="16" fillId="0" borderId="0" xfId="1" applyFont="1" applyFill="1"/>
    <xf numFmtId="43" fontId="0" fillId="0" borderId="0" xfId="0" applyNumberFormat="1"/>
    <xf numFmtId="0" fontId="6" fillId="2" borderId="0" xfId="0" applyFont="1" applyFill="1"/>
    <xf numFmtId="0" fontId="15" fillId="2" borderId="0" xfId="0" applyFont="1" applyFill="1"/>
    <xf numFmtId="165" fontId="15" fillId="2" borderId="0" xfId="1" applyFont="1" applyFill="1"/>
    <xf numFmtId="0" fontId="15" fillId="2" borderId="0" xfId="0" quotePrefix="1" applyFont="1" applyFill="1"/>
    <xf numFmtId="0" fontId="3" fillId="0" borderId="0" xfId="0" applyFont="1" applyFill="1"/>
    <xf numFmtId="0" fontId="0" fillId="0" borderId="0" xfId="0" applyAlignment="1">
      <alignment vertical="center" wrapText="1"/>
    </xf>
    <xf numFmtId="2" fontId="0" fillId="0" borderId="0" xfId="0" applyNumberFormat="1"/>
    <xf numFmtId="8" fontId="0" fillId="0" borderId="0" xfId="0" applyNumberFormat="1"/>
    <xf numFmtId="8" fontId="0" fillId="0" borderId="0" xfId="0" applyNumberFormat="1" applyFill="1"/>
    <xf numFmtId="0" fontId="1" fillId="0" borderId="0" xfId="0" applyFont="1" applyFill="1"/>
    <xf numFmtId="8" fontId="1" fillId="0" borderId="0" xfId="0" applyNumberFormat="1" applyFont="1" applyFill="1"/>
    <xf numFmtId="6" fontId="5" fillId="0" borderId="0" xfId="0" applyNumberFormat="1" applyFont="1" applyFill="1"/>
    <xf numFmtId="0" fontId="1" fillId="0" borderId="0" xfId="0" applyFont="1"/>
    <xf numFmtId="8" fontId="10" fillId="0" borderId="0" xfId="0" applyNumberFormat="1" applyFont="1" applyFill="1"/>
    <xf numFmtId="0" fontId="0" fillId="0" borderId="0" xfId="0" applyFill="1" applyAlignment="1">
      <alignment vertical="center" wrapText="1"/>
    </xf>
    <xf numFmtId="8" fontId="6" fillId="0" borderId="0" xfId="0" applyNumberFormat="1" applyFont="1" applyFill="1"/>
    <xf numFmtId="0" fontId="17" fillId="0" borderId="0" xfId="0" applyNumberFormat="1" applyFont="1"/>
    <xf numFmtId="166" fontId="0" fillId="0" borderId="0" xfId="0" applyNumberFormat="1"/>
    <xf numFmtId="167" fontId="0" fillId="0" borderId="0" xfId="2" applyNumberFormat="1" applyFont="1"/>
    <xf numFmtId="166" fontId="1" fillId="2" borderId="0" xfId="0" applyNumberFormat="1" applyFont="1" applyFill="1"/>
    <xf numFmtId="167" fontId="1" fillId="2" borderId="0" xfId="2" applyNumberFormat="1" applyFont="1" applyFill="1"/>
    <xf numFmtId="10" fontId="1" fillId="2" borderId="0" xfId="0" applyNumberFormat="1" applyFont="1" applyFill="1"/>
    <xf numFmtId="168" fontId="0" fillId="9" borderId="0" xfId="1" applyNumberFormat="1" applyFont="1" applyFill="1"/>
    <xf numFmtId="0" fontId="10" fillId="10" borderId="0" xfId="0" applyFont="1" applyFill="1"/>
    <xf numFmtId="8" fontId="10" fillId="10" borderId="0" xfId="0" applyNumberFormat="1" applyFont="1" applyFill="1"/>
    <xf numFmtId="8" fontId="10" fillId="10" borderId="0" xfId="0" applyNumberFormat="1" applyFont="1" applyFill="1" applyAlignment="1">
      <alignment vertical="center" wrapText="1"/>
    </xf>
    <xf numFmtId="8" fontId="6" fillId="2" borderId="0" xfId="0" applyNumberFormat="1" applyFont="1" applyFill="1"/>
    <xf numFmtId="0" fontId="6" fillId="2" borderId="7" xfId="0" applyFont="1" applyFill="1" applyBorder="1"/>
    <xf numFmtId="8" fontId="6" fillId="2" borderId="7" xfId="0" applyNumberFormat="1" applyFont="1" applyFill="1" applyBorder="1"/>
    <xf numFmtId="0" fontId="10" fillId="2" borderId="0" xfId="0" applyFont="1" applyFill="1"/>
    <xf numFmtId="8" fontId="10" fillId="2" borderId="0" xfId="0" applyNumberFormat="1" applyFont="1" applyFill="1"/>
    <xf numFmtId="169" fontId="0" fillId="0" borderId="0" xfId="1" applyNumberFormat="1" applyFont="1"/>
    <xf numFmtId="169" fontId="0" fillId="0" borderId="0" xfId="0" applyNumberFormat="1"/>
    <xf numFmtId="9" fontId="1" fillId="0" borderId="0" xfId="2" applyFont="1"/>
    <xf numFmtId="17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17</xdr:col>
      <xdr:colOff>351695</xdr:colOff>
      <xdr:row>15</xdr:row>
      <xdr:rowOff>18705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F0317-06E8-4ADF-888C-0DB2B1AA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0"/>
          <a:ext cx="5838095" cy="2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workbookViewId="0">
      <selection activeCell="C30" sqref="C30"/>
    </sheetView>
  </sheetViews>
  <sheetFormatPr defaultRowHeight="14.4"/>
  <cols>
    <col min="1" max="1" width="19" bestFit="1" customWidth="1"/>
    <col min="3" max="3" width="10.77734375" bestFit="1" customWidth="1"/>
    <col min="12" max="12" width="22.77734375" bestFit="1" customWidth="1"/>
    <col min="13" max="13" width="12.5546875" customWidth="1"/>
  </cols>
  <sheetData>
    <row r="1" spans="1:19">
      <c r="B1" s="102">
        <v>42736</v>
      </c>
      <c r="C1" s="102"/>
      <c r="D1" s="102">
        <v>42767</v>
      </c>
      <c r="E1" s="102"/>
      <c r="F1" s="102">
        <v>42795</v>
      </c>
      <c r="G1" s="102"/>
      <c r="L1" t="s">
        <v>22</v>
      </c>
      <c r="N1" t="s">
        <v>26</v>
      </c>
    </row>
    <row r="2" spans="1:19">
      <c r="A2" t="s">
        <v>16</v>
      </c>
      <c r="B2">
        <v>25</v>
      </c>
      <c r="D2">
        <v>25</v>
      </c>
      <c r="F2">
        <v>76</v>
      </c>
      <c r="L2" s="23" t="s">
        <v>19</v>
      </c>
      <c r="M2" s="23"/>
      <c r="N2" t="s">
        <v>27</v>
      </c>
    </row>
    <row r="3" spans="1:19">
      <c r="A3" s="1" t="s">
        <v>0</v>
      </c>
      <c r="B3" s="1">
        <v>10</v>
      </c>
      <c r="C3" t="s">
        <v>18</v>
      </c>
      <c r="D3">
        <v>10</v>
      </c>
      <c r="E3" t="s">
        <v>36</v>
      </c>
      <c r="F3">
        <v>10</v>
      </c>
      <c r="G3" t="s">
        <v>41</v>
      </c>
      <c r="L3" s="24" t="s">
        <v>13</v>
      </c>
      <c r="M3" s="25">
        <v>1010.27</v>
      </c>
      <c r="N3" s="9">
        <v>42767</v>
      </c>
      <c r="O3" s="9">
        <v>42796</v>
      </c>
      <c r="Q3" s="9">
        <v>42887</v>
      </c>
      <c r="R3" s="1"/>
      <c r="S3" s="21"/>
    </row>
    <row r="4" spans="1:19">
      <c r="A4" t="s">
        <v>1</v>
      </c>
      <c r="B4">
        <v>5.5</v>
      </c>
      <c r="D4">
        <v>5.5</v>
      </c>
      <c r="L4" s="24" t="s">
        <v>14</v>
      </c>
      <c r="M4" s="25">
        <v>732.05</v>
      </c>
      <c r="N4" s="9">
        <v>42767</v>
      </c>
      <c r="O4" s="9">
        <v>42796</v>
      </c>
      <c r="P4" s="9">
        <v>42828</v>
      </c>
      <c r="Q4" s="9">
        <v>42887</v>
      </c>
      <c r="S4" s="21"/>
    </row>
    <row r="5" spans="1:19">
      <c r="A5" s="1" t="s">
        <v>2</v>
      </c>
      <c r="B5" s="1">
        <v>3</v>
      </c>
      <c r="C5" t="s">
        <v>17</v>
      </c>
      <c r="D5">
        <v>3</v>
      </c>
      <c r="E5" t="s">
        <v>36</v>
      </c>
      <c r="F5">
        <v>3</v>
      </c>
      <c r="G5" t="s">
        <v>41</v>
      </c>
      <c r="L5" s="30" t="s">
        <v>20</v>
      </c>
      <c r="M5" s="32">
        <v>1500</v>
      </c>
      <c r="N5" s="9">
        <v>42760</v>
      </c>
      <c r="O5" s="9">
        <v>42793</v>
      </c>
      <c r="Q5" s="9">
        <v>42880</v>
      </c>
      <c r="R5" s="1"/>
      <c r="S5" s="21"/>
    </row>
    <row r="6" spans="1:19">
      <c r="A6" t="s">
        <v>3</v>
      </c>
      <c r="B6">
        <v>1</v>
      </c>
      <c r="D6">
        <v>1</v>
      </c>
      <c r="L6" s="24" t="s">
        <v>21</v>
      </c>
      <c r="M6" s="25">
        <v>1500</v>
      </c>
      <c r="N6" s="9">
        <v>42768</v>
      </c>
      <c r="Q6" s="9">
        <v>42887</v>
      </c>
    </row>
    <row r="7" spans="1:19">
      <c r="A7" t="s">
        <v>4</v>
      </c>
      <c r="B7">
        <f>B2-SUM(B3:B6)</f>
        <v>5.5</v>
      </c>
      <c r="L7" s="30" t="s">
        <v>23</v>
      </c>
      <c r="M7" s="32">
        <v>812.38</v>
      </c>
      <c r="N7" s="9">
        <v>42760</v>
      </c>
      <c r="O7" s="9">
        <v>42821</v>
      </c>
      <c r="Q7" s="9">
        <v>42880</v>
      </c>
      <c r="R7" s="1"/>
      <c r="S7" s="21"/>
    </row>
    <row r="8" spans="1:19">
      <c r="A8" s="1" t="s">
        <v>5</v>
      </c>
      <c r="B8" s="1">
        <v>4.5</v>
      </c>
      <c r="C8" t="s">
        <v>9</v>
      </c>
      <c r="D8">
        <v>6.5</v>
      </c>
      <c r="F8">
        <v>6.5</v>
      </c>
      <c r="G8" t="s">
        <v>41</v>
      </c>
      <c r="L8" s="24" t="s">
        <v>24</v>
      </c>
      <c r="M8" s="26">
        <v>269</v>
      </c>
      <c r="N8" s="9">
        <v>42767</v>
      </c>
      <c r="O8" s="9">
        <v>42796</v>
      </c>
      <c r="Q8" s="9">
        <v>42887</v>
      </c>
      <c r="S8" s="21"/>
    </row>
    <row r="9" spans="1:19">
      <c r="A9" t="s">
        <v>4</v>
      </c>
      <c r="B9">
        <f>B7-B8</f>
        <v>1</v>
      </c>
      <c r="L9" s="27" t="s">
        <v>55</v>
      </c>
      <c r="M9" s="25">
        <v>6954.78</v>
      </c>
    </row>
    <row r="10" spans="1:19">
      <c r="A10" s="1" t="s">
        <v>6</v>
      </c>
      <c r="B10" s="1">
        <v>1</v>
      </c>
      <c r="C10" t="s">
        <v>9</v>
      </c>
      <c r="L10" s="31" t="s">
        <v>54</v>
      </c>
      <c r="M10" s="32">
        <v>1327.35</v>
      </c>
      <c r="N10">
        <f>7-5.7</f>
        <v>1.2999999999999998</v>
      </c>
    </row>
    <row r="11" spans="1:19">
      <c r="A11" s="1"/>
      <c r="B11" s="1"/>
      <c r="L11" s="28" t="s">
        <v>25</v>
      </c>
      <c r="M11" s="29">
        <f>SUM(M3:M10)</f>
        <v>14105.83</v>
      </c>
    </row>
    <row r="12" spans="1:19">
      <c r="A12" s="2" t="s">
        <v>4</v>
      </c>
      <c r="B12" s="2">
        <f>B9-B10</f>
        <v>0</v>
      </c>
      <c r="L12" s="4"/>
      <c r="M12" s="22"/>
    </row>
    <row r="13" spans="1:19">
      <c r="L13" s="4"/>
      <c r="M13" s="7">
        <f>26000-M11</f>
        <v>11894.17</v>
      </c>
    </row>
    <row r="14" spans="1:19">
      <c r="L14" s="6"/>
      <c r="M14" s="6"/>
    </row>
    <row r="15" spans="1:19">
      <c r="A15" t="s">
        <v>7</v>
      </c>
      <c r="B15" t="s">
        <v>8</v>
      </c>
      <c r="L15" s="4" t="s">
        <v>56</v>
      </c>
      <c r="M15" s="5">
        <f>M3+M4+M5+M6+M7+M8+M10</f>
        <v>7151.0499999999993</v>
      </c>
    </row>
    <row r="16" spans="1:19">
      <c r="B16" t="s">
        <v>37</v>
      </c>
      <c r="M16">
        <f>17878</f>
        <v>17878</v>
      </c>
    </row>
    <row r="17" spans="1:16">
      <c r="L17" s="3"/>
      <c r="M17" s="8"/>
    </row>
    <row r="18" spans="1:16">
      <c r="M18">
        <f>8916</f>
        <v>8916</v>
      </c>
    </row>
    <row r="19" spans="1:16">
      <c r="M19" s="20" t="e">
        <f>M18-#REF!</f>
        <v>#REF!</v>
      </c>
      <c r="P19">
        <f>26-3-5-7-1.3</f>
        <v>9.6999999999999993</v>
      </c>
    </row>
    <row r="20" spans="1:16">
      <c r="A20" s="11" t="s">
        <v>28</v>
      </c>
      <c r="B20" s="12"/>
      <c r="C20" s="11" t="s">
        <v>40</v>
      </c>
      <c r="M20" s="20" t="e">
        <f>M19-1584.11</f>
        <v>#REF!</v>
      </c>
    </row>
    <row r="21" spans="1:16">
      <c r="A21" s="18" t="s">
        <v>29</v>
      </c>
      <c r="B21" s="19">
        <f>B2</f>
        <v>25</v>
      </c>
      <c r="C21" s="18" t="s">
        <v>29</v>
      </c>
      <c r="D21">
        <v>76</v>
      </c>
    </row>
    <row r="22" spans="1:16">
      <c r="A22" s="18" t="s">
        <v>30</v>
      </c>
      <c r="B22" s="19">
        <v>6.5</v>
      </c>
      <c r="C22" s="18" t="s">
        <v>30</v>
      </c>
      <c r="D22">
        <v>6.5</v>
      </c>
      <c r="E22" t="s">
        <v>42</v>
      </c>
    </row>
    <row r="23" spans="1:16">
      <c r="A23" s="13" t="str">
        <f t="shared" ref="A23:B25" si="0">A4</f>
        <v>debits</v>
      </c>
      <c r="B23" s="14">
        <f>B4</f>
        <v>5.5</v>
      </c>
      <c r="C23" s="13" t="s">
        <v>1</v>
      </c>
      <c r="D23" s="6">
        <f>B4</f>
        <v>5.5</v>
      </c>
      <c r="E23" t="s">
        <v>44</v>
      </c>
      <c r="M23" s="20">
        <f>M4+M6+M8</f>
        <v>2501.0500000000002</v>
      </c>
    </row>
    <row r="24" spans="1:16">
      <c r="A24" s="18" t="str">
        <f t="shared" si="0"/>
        <v>car</v>
      </c>
      <c r="B24" s="19">
        <f t="shared" si="0"/>
        <v>3</v>
      </c>
      <c r="C24" s="18" t="s">
        <v>2</v>
      </c>
      <c r="D24">
        <f>B5</f>
        <v>3</v>
      </c>
      <c r="E24" t="s">
        <v>42</v>
      </c>
      <c r="F24" t="s">
        <v>53</v>
      </c>
      <c r="I24" s="10"/>
      <c r="M24" s="20">
        <f>M23-3833</f>
        <v>-1331.9499999999998</v>
      </c>
    </row>
    <row r="25" spans="1:16">
      <c r="A25" s="13" t="str">
        <f t="shared" si="0"/>
        <v>insur</v>
      </c>
      <c r="B25" s="14">
        <f t="shared" si="0"/>
        <v>1</v>
      </c>
      <c r="C25" s="13" t="s">
        <v>3</v>
      </c>
      <c r="D25" s="6">
        <f>B6</f>
        <v>1</v>
      </c>
    </row>
    <row r="26" spans="1:16">
      <c r="A26" s="13" t="s">
        <v>31</v>
      </c>
      <c r="B26" s="14">
        <f>B21-SUM(B22:B25)</f>
        <v>9</v>
      </c>
      <c r="C26" s="13" t="s">
        <v>31</v>
      </c>
      <c r="D26" s="14">
        <f>D21-SUM(D22:D25)</f>
        <v>60</v>
      </c>
    </row>
    <row r="27" spans="1:16">
      <c r="A27" s="13" t="s">
        <v>32</v>
      </c>
      <c r="B27" s="14">
        <v>9</v>
      </c>
      <c r="C27" s="13" t="s">
        <v>32</v>
      </c>
      <c r="D27">
        <v>10</v>
      </c>
    </row>
    <row r="28" spans="1:16">
      <c r="A28" s="13" t="s">
        <v>33</v>
      </c>
      <c r="B28" s="14">
        <v>14</v>
      </c>
      <c r="C28" s="13" t="s">
        <v>33</v>
      </c>
      <c r="D28">
        <v>14</v>
      </c>
    </row>
    <row r="29" spans="1:16">
      <c r="A29" s="15" t="s">
        <v>34</v>
      </c>
      <c r="B29" s="16">
        <f>B28-B27</f>
        <v>5</v>
      </c>
      <c r="C29" s="15" t="s">
        <v>34</v>
      </c>
    </row>
    <row r="30" spans="1:16">
      <c r="D30" t="s">
        <v>45</v>
      </c>
    </row>
    <row r="31" spans="1:16">
      <c r="A31" t="s">
        <v>35</v>
      </c>
      <c r="B31">
        <f>(B29-1.5)*1000</f>
        <v>3500</v>
      </c>
      <c r="E31">
        <f>76-10-6.5-6.5-50</f>
        <v>3</v>
      </c>
      <c r="F31" t="s">
        <v>43</v>
      </c>
    </row>
    <row r="32" spans="1:16">
      <c r="A32" t="s">
        <v>38</v>
      </c>
      <c r="B32" s="17">
        <v>849.1</v>
      </c>
    </row>
    <row r="33" spans="1:2">
      <c r="A33" t="s">
        <v>39</v>
      </c>
      <c r="B33">
        <v>4000</v>
      </c>
    </row>
    <row r="34" spans="1:2">
      <c r="B34">
        <f>SUM(B31:B33)</f>
        <v>8349.1</v>
      </c>
    </row>
    <row r="35" spans="1:2">
      <c r="B35">
        <v>1500</v>
      </c>
    </row>
    <row r="37" spans="1:2">
      <c r="A37" t="s">
        <v>46</v>
      </c>
    </row>
    <row r="38" spans="1:2">
      <c r="A38" t="s">
        <v>47</v>
      </c>
    </row>
    <row r="39" spans="1:2">
      <c r="A39" t="s">
        <v>48</v>
      </c>
    </row>
    <row r="40" spans="1:2">
      <c r="A40" t="s">
        <v>49</v>
      </c>
    </row>
    <row r="41" spans="1:2">
      <c r="A41" t="s">
        <v>50</v>
      </c>
    </row>
    <row r="42" spans="1:2">
      <c r="A42" t="s">
        <v>51</v>
      </c>
    </row>
    <row r="43" spans="1:2">
      <c r="A43" t="s">
        <v>52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topLeftCell="A13" workbookViewId="0">
      <selection activeCell="M25" sqref="M25"/>
    </sheetView>
  </sheetViews>
  <sheetFormatPr defaultRowHeight="14.4"/>
  <cols>
    <col min="1" max="1" width="19" bestFit="1" customWidth="1"/>
    <col min="3" max="3" width="10.77734375" bestFit="1" customWidth="1"/>
    <col min="12" max="12" width="22.77734375" bestFit="1" customWidth="1"/>
    <col min="13" max="13" width="12.5546875" customWidth="1"/>
    <col min="14" max="15" width="10.44140625" bestFit="1" customWidth="1"/>
  </cols>
  <sheetData>
    <row r="1" spans="1:19">
      <c r="B1" s="102">
        <v>42736</v>
      </c>
      <c r="C1" s="102"/>
      <c r="D1" s="102">
        <v>42767</v>
      </c>
      <c r="E1" s="102"/>
      <c r="F1" s="102">
        <v>42795</v>
      </c>
      <c r="G1" s="102"/>
      <c r="L1" t="s">
        <v>22</v>
      </c>
    </row>
    <row r="2" spans="1:19">
      <c r="A2" t="s">
        <v>16</v>
      </c>
      <c r="B2">
        <v>25</v>
      </c>
      <c r="D2">
        <v>25</v>
      </c>
      <c r="F2">
        <v>76</v>
      </c>
      <c r="L2" s="23" t="s">
        <v>19</v>
      </c>
      <c r="M2" s="23"/>
    </row>
    <row r="3" spans="1:19">
      <c r="A3" s="1" t="s">
        <v>0</v>
      </c>
      <c r="B3" s="1">
        <v>10</v>
      </c>
      <c r="C3" t="s">
        <v>18</v>
      </c>
      <c r="D3">
        <v>10</v>
      </c>
      <c r="E3" t="s">
        <v>36</v>
      </c>
      <c r="F3">
        <v>10</v>
      </c>
      <c r="G3" t="s">
        <v>41</v>
      </c>
      <c r="L3" s="24" t="s">
        <v>59</v>
      </c>
      <c r="M3" s="25">
        <v>1000</v>
      </c>
      <c r="N3" s="9"/>
      <c r="O3" s="9">
        <v>42796</v>
      </c>
      <c r="Q3" s="9">
        <v>42887</v>
      </c>
      <c r="R3" s="1"/>
      <c r="S3" s="21"/>
    </row>
    <row r="4" spans="1:19">
      <c r="A4" t="s">
        <v>1</v>
      </c>
      <c r="B4">
        <v>5.5</v>
      </c>
      <c r="D4">
        <v>5.5</v>
      </c>
      <c r="L4" s="24" t="s">
        <v>14</v>
      </c>
      <c r="M4" s="25">
        <v>732.05</v>
      </c>
      <c r="N4" s="9"/>
      <c r="O4" s="9">
        <v>42796</v>
      </c>
      <c r="P4" s="9">
        <v>42828</v>
      </c>
      <c r="Q4" s="9">
        <v>42887</v>
      </c>
      <c r="S4" s="21"/>
    </row>
    <row r="5" spans="1:19">
      <c r="A5" s="1" t="s">
        <v>2</v>
      </c>
      <c r="B5" s="1">
        <v>3</v>
      </c>
      <c r="C5" t="s">
        <v>17</v>
      </c>
      <c r="D5">
        <v>3</v>
      </c>
      <c r="E5" t="s">
        <v>36</v>
      </c>
      <c r="F5">
        <v>3</v>
      </c>
      <c r="G5" t="s">
        <v>41</v>
      </c>
      <c r="L5" s="24" t="s">
        <v>20</v>
      </c>
      <c r="M5" s="25">
        <v>1500</v>
      </c>
      <c r="N5" s="9"/>
      <c r="O5" s="9">
        <v>42793</v>
      </c>
      <c r="Q5" s="9">
        <v>42880</v>
      </c>
      <c r="R5" s="1"/>
      <c r="S5" s="21"/>
    </row>
    <row r="6" spans="1:19">
      <c r="A6" t="s">
        <v>3</v>
      </c>
      <c r="B6">
        <v>1</v>
      </c>
      <c r="D6">
        <v>1</v>
      </c>
      <c r="L6" s="24" t="s">
        <v>21</v>
      </c>
      <c r="M6" s="25">
        <v>1500</v>
      </c>
      <c r="N6" s="9"/>
      <c r="Q6" s="9">
        <v>42887</v>
      </c>
    </row>
    <row r="7" spans="1:19">
      <c r="A7" t="s">
        <v>4</v>
      </c>
      <c r="B7">
        <f>B2-SUM(B3:B6)</f>
        <v>5.5</v>
      </c>
      <c r="L7" s="24" t="s">
        <v>23</v>
      </c>
      <c r="M7" s="49">
        <v>2193.92</v>
      </c>
      <c r="N7" s="9"/>
      <c r="O7" s="9">
        <v>42821</v>
      </c>
      <c r="Q7" s="9">
        <v>42880</v>
      </c>
      <c r="R7" s="1"/>
      <c r="S7" s="21"/>
    </row>
    <row r="8" spans="1:19">
      <c r="A8" s="1" t="s">
        <v>5</v>
      </c>
      <c r="B8" s="1">
        <v>4.5</v>
      </c>
      <c r="C8" t="s">
        <v>9</v>
      </c>
      <c r="D8">
        <v>6.5</v>
      </c>
      <c r="F8">
        <v>6.5</v>
      </c>
      <c r="G8" t="s">
        <v>41</v>
      </c>
      <c r="L8" s="55" t="s">
        <v>24</v>
      </c>
      <c r="M8" s="56">
        <v>289</v>
      </c>
      <c r="N8" s="9"/>
      <c r="O8" s="9">
        <v>42796</v>
      </c>
      <c r="Q8" s="9">
        <v>42887</v>
      </c>
      <c r="S8" s="21"/>
    </row>
    <row r="9" spans="1:19">
      <c r="A9" t="s">
        <v>4</v>
      </c>
      <c r="B9">
        <f>B7-B8</f>
        <v>1</v>
      </c>
      <c r="L9" s="53" t="s">
        <v>55</v>
      </c>
      <c r="M9" s="54">
        <v>6918.42</v>
      </c>
    </row>
    <row r="10" spans="1:19">
      <c r="A10" s="1" t="s">
        <v>6</v>
      </c>
      <c r="B10" s="1">
        <v>1</v>
      </c>
      <c r="C10" t="s">
        <v>9</v>
      </c>
      <c r="L10" s="50" t="s">
        <v>57</v>
      </c>
      <c r="M10" s="25">
        <v>355</v>
      </c>
    </row>
    <row r="11" spans="1:19">
      <c r="A11" s="1"/>
      <c r="B11" s="1"/>
      <c r="L11" s="28" t="s">
        <v>25</v>
      </c>
      <c r="M11" s="29">
        <f>SUM(M3:M10)</f>
        <v>14488.39</v>
      </c>
    </row>
    <row r="12" spans="1:19">
      <c r="A12" s="2" t="s">
        <v>4</v>
      </c>
      <c r="B12" s="2">
        <f>B9-B10</f>
        <v>0</v>
      </c>
      <c r="L12" s="51" t="s">
        <v>58</v>
      </c>
      <c r="M12" s="52">
        <v>2765.41</v>
      </c>
    </row>
    <row r="13" spans="1:19">
      <c r="L13" s="4"/>
      <c r="M13" s="7">
        <f>26000-M11</f>
        <v>11511.61</v>
      </c>
    </row>
    <row r="14" spans="1:19">
      <c r="L14" s="6"/>
      <c r="M14" s="6"/>
      <c r="O14" s="20"/>
    </row>
    <row r="15" spans="1:19">
      <c r="A15" t="s">
        <v>7</v>
      </c>
      <c r="B15" t="s">
        <v>8</v>
      </c>
      <c r="L15" s="4"/>
      <c r="M15" s="5"/>
      <c r="O15" s="20"/>
    </row>
    <row r="16" spans="1:19">
      <c r="B16" t="s">
        <v>37</v>
      </c>
      <c r="L16" t="s">
        <v>78</v>
      </c>
      <c r="P16" s="57"/>
    </row>
    <row r="17" spans="1:15">
      <c r="L17" s="3" t="s">
        <v>29</v>
      </c>
      <c r="M17" s="42">
        <v>27252.11</v>
      </c>
      <c r="N17" s="44"/>
      <c r="O17" s="44"/>
    </row>
    <row r="18" spans="1:15">
      <c r="L18" t="s">
        <v>79</v>
      </c>
      <c r="M18" s="43">
        <v>6918.42</v>
      </c>
      <c r="N18" s="44"/>
      <c r="O18" s="44">
        <f>M18+M27+M26+M25+M23+M22+M21</f>
        <v>16479.010000000002</v>
      </c>
    </row>
    <row r="19" spans="1:15">
      <c r="M19" s="44">
        <f>M17-M18</f>
        <v>20333.690000000002</v>
      </c>
      <c r="O19" s="20"/>
    </row>
    <row r="20" spans="1:15">
      <c r="A20" s="11" t="s">
        <v>28</v>
      </c>
      <c r="B20" s="12"/>
      <c r="C20" s="11" t="s">
        <v>40</v>
      </c>
      <c r="L20" t="s">
        <v>80</v>
      </c>
      <c r="M20" s="20">
        <f>SUM(M21:M27)</f>
        <v>11060.59</v>
      </c>
      <c r="N20" s="20"/>
      <c r="O20" s="44"/>
    </row>
    <row r="21" spans="1:15">
      <c r="A21" s="18" t="s">
        <v>29</v>
      </c>
      <c r="B21" s="19">
        <f>B2</f>
        <v>25</v>
      </c>
      <c r="C21" s="18" t="s">
        <v>29</v>
      </c>
      <c r="D21">
        <v>76</v>
      </c>
      <c r="L21" s="45" t="s">
        <v>59</v>
      </c>
      <c r="M21" s="46">
        <v>2000</v>
      </c>
      <c r="O21" s="44">
        <f>M18+M27</f>
        <v>9698.0400000000009</v>
      </c>
    </row>
    <row r="22" spans="1:15">
      <c r="A22" s="18" t="s">
        <v>30</v>
      </c>
      <c r="B22" s="19">
        <v>6.5</v>
      </c>
      <c r="C22" s="18" t="s">
        <v>30</v>
      </c>
      <c r="D22">
        <v>6.5</v>
      </c>
      <c r="E22" t="s">
        <v>42</v>
      </c>
      <c r="L22" s="45" t="s">
        <v>14</v>
      </c>
      <c r="M22" s="46">
        <v>732.05</v>
      </c>
    </row>
    <row r="23" spans="1:15">
      <c r="A23" s="13" t="str">
        <f t="shared" ref="A23:B25" si="0">A4</f>
        <v>debits</v>
      </c>
      <c r="B23" s="14">
        <f>B4</f>
        <v>5.5</v>
      </c>
      <c r="C23" s="13" t="s">
        <v>1</v>
      </c>
      <c r="D23" s="6">
        <f>B4</f>
        <v>5.5</v>
      </c>
      <c r="E23" t="s">
        <v>44</v>
      </c>
      <c r="L23" s="45" t="s">
        <v>20</v>
      </c>
      <c r="M23" s="46">
        <v>1500</v>
      </c>
    </row>
    <row r="24" spans="1:15">
      <c r="A24" s="18" t="str">
        <f t="shared" si="0"/>
        <v>car</v>
      </c>
      <c r="B24" s="19">
        <f t="shared" si="0"/>
        <v>3</v>
      </c>
      <c r="C24" s="18" t="s">
        <v>2</v>
      </c>
      <c r="D24">
        <f>B5</f>
        <v>3</v>
      </c>
      <c r="E24" t="s">
        <v>42</v>
      </c>
      <c r="F24" t="s">
        <v>53</v>
      </c>
      <c r="I24" s="10"/>
      <c r="L24" s="45" t="s">
        <v>21</v>
      </c>
      <c r="M24" s="46">
        <v>1500</v>
      </c>
    </row>
    <row r="25" spans="1:15">
      <c r="A25" s="13" t="str">
        <f t="shared" si="0"/>
        <v>insur</v>
      </c>
      <c r="B25" s="14">
        <f t="shared" si="0"/>
        <v>1</v>
      </c>
      <c r="C25" s="13" t="s">
        <v>3</v>
      </c>
      <c r="D25" s="6">
        <f>B6</f>
        <v>1</v>
      </c>
      <c r="L25" s="45" t="s">
        <v>23</v>
      </c>
      <c r="M25" s="47">
        <v>2193.92</v>
      </c>
    </row>
    <row r="26" spans="1:15">
      <c r="A26" s="13" t="s">
        <v>31</v>
      </c>
      <c r="B26" s="14">
        <f>B21-SUM(B22:B25)</f>
        <v>9</v>
      </c>
      <c r="C26" s="13" t="s">
        <v>31</v>
      </c>
      <c r="D26" s="14">
        <f>D21-SUM(D22:D25)</f>
        <v>60</v>
      </c>
      <c r="L26" s="48" t="s">
        <v>57</v>
      </c>
      <c r="M26" s="46">
        <v>355</v>
      </c>
    </row>
    <row r="27" spans="1:15">
      <c r="A27" s="13" t="s">
        <v>32</v>
      </c>
      <c r="B27" s="14">
        <v>9</v>
      </c>
      <c r="C27" s="13" t="s">
        <v>32</v>
      </c>
      <c r="D27">
        <v>10</v>
      </c>
      <c r="L27" s="36" t="s">
        <v>58</v>
      </c>
      <c r="M27" s="35">
        <v>2779.62</v>
      </c>
    </row>
    <row r="28" spans="1:15">
      <c r="A28" s="13" t="s">
        <v>33</v>
      </c>
      <c r="B28" s="14">
        <v>14</v>
      </c>
      <c r="C28" s="13" t="s">
        <v>33</v>
      </c>
      <c r="D28">
        <v>14</v>
      </c>
      <c r="L28" s="45" t="s">
        <v>81</v>
      </c>
      <c r="M28" s="46">
        <v>516.91999999999996</v>
      </c>
    </row>
    <row r="29" spans="1:15">
      <c r="A29" s="15" t="s">
        <v>34</v>
      </c>
      <c r="B29" s="16">
        <f>B28-B27</f>
        <v>5</v>
      </c>
      <c r="C29" s="15" t="s">
        <v>34</v>
      </c>
      <c r="L29" s="24" t="s">
        <v>88</v>
      </c>
      <c r="M29" s="74">
        <v>13699.9</v>
      </c>
      <c r="N29" s="73"/>
    </row>
    <row r="30" spans="1:15">
      <c r="D30" t="s">
        <v>45</v>
      </c>
    </row>
    <row r="31" spans="1:15">
      <c r="A31" t="s">
        <v>35</v>
      </c>
      <c r="B31">
        <f>(B29-1.5)*1000</f>
        <v>3500</v>
      </c>
      <c r="E31">
        <f>76-10-6.5-6.5-50</f>
        <v>3</v>
      </c>
      <c r="F31" t="s">
        <v>43</v>
      </c>
    </row>
    <row r="32" spans="1:15">
      <c r="A32" t="s">
        <v>38</v>
      </c>
      <c r="B32" s="17">
        <v>849.1</v>
      </c>
    </row>
    <row r="33" spans="1:15">
      <c r="A33" t="s">
        <v>39</v>
      </c>
      <c r="B33">
        <v>4000</v>
      </c>
      <c r="L33" t="s">
        <v>82</v>
      </c>
    </row>
    <row r="34" spans="1:15">
      <c r="B34">
        <f>SUM(B31:B33)</f>
        <v>8349.1</v>
      </c>
      <c r="K34" s="64" t="s">
        <v>83</v>
      </c>
      <c r="L34" s="61" t="s">
        <v>79</v>
      </c>
      <c r="M34" s="62">
        <v>6950.36</v>
      </c>
      <c r="N34">
        <v>6950.36</v>
      </c>
      <c r="O34" s="67">
        <f>N34-M34</f>
        <v>0</v>
      </c>
    </row>
    <row r="35" spans="1:15">
      <c r="B35">
        <v>1500</v>
      </c>
      <c r="L35" s="65" t="s">
        <v>59</v>
      </c>
      <c r="M35" s="66">
        <v>1000</v>
      </c>
    </row>
    <row r="36" spans="1:15">
      <c r="L36" s="65" t="s">
        <v>14</v>
      </c>
      <c r="M36" s="66">
        <v>805.26</v>
      </c>
    </row>
    <row r="37" spans="1:15">
      <c r="A37" t="s">
        <v>46</v>
      </c>
      <c r="L37" s="58" t="s">
        <v>20</v>
      </c>
      <c r="M37" s="59">
        <v>1500</v>
      </c>
    </row>
    <row r="38" spans="1:15">
      <c r="A38" t="s">
        <v>47</v>
      </c>
      <c r="L38" s="58" t="s">
        <v>21</v>
      </c>
      <c r="M38" s="59">
        <v>1500</v>
      </c>
    </row>
    <row r="39" spans="1:15">
      <c r="A39" t="s">
        <v>48</v>
      </c>
      <c r="L39" s="65" t="s">
        <v>23</v>
      </c>
      <c r="M39" s="65">
        <v>2193.92</v>
      </c>
    </row>
    <row r="40" spans="1:15">
      <c r="A40" t="s">
        <v>49</v>
      </c>
      <c r="L40" s="60" t="s">
        <v>57</v>
      </c>
      <c r="M40" s="59">
        <v>358</v>
      </c>
    </row>
    <row r="41" spans="1:15">
      <c r="A41" t="s">
        <v>50</v>
      </c>
      <c r="K41" s="64" t="s">
        <v>83</v>
      </c>
      <c r="L41" s="63" t="s">
        <v>58</v>
      </c>
      <c r="M41" s="62">
        <v>2778.25</v>
      </c>
      <c r="N41">
        <v>2778.25</v>
      </c>
      <c r="O41" s="67">
        <f>N41-M41</f>
        <v>0</v>
      </c>
    </row>
    <row r="42" spans="1:15">
      <c r="A42" t="s">
        <v>51</v>
      </c>
      <c r="L42" s="58" t="s">
        <v>81</v>
      </c>
      <c r="M42" s="59">
        <v>516.29</v>
      </c>
    </row>
    <row r="43" spans="1:15">
      <c r="A43" t="s">
        <v>52</v>
      </c>
      <c r="K43" s="64" t="s">
        <v>83</v>
      </c>
      <c r="L43" s="63" t="s">
        <v>87</v>
      </c>
      <c r="M43" s="62">
        <v>13361.29</v>
      </c>
    </row>
    <row r="44" spans="1:15">
      <c r="M44" s="40">
        <f>SUM(M34:M43)</f>
        <v>30963.370000000003</v>
      </c>
    </row>
    <row r="46" spans="1:15">
      <c r="L46" t="s">
        <v>84</v>
      </c>
    </row>
    <row r="47" spans="1:15">
      <c r="K47" s="24" t="s">
        <v>85</v>
      </c>
      <c r="L47" s="58" t="s">
        <v>59</v>
      </c>
      <c r="M47" s="59">
        <v>1000</v>
      </c>
      <c r="N47" s="59"/>
    </row>
    <row r="48" spans="1:15">
      <c r="K48" s="24" t="s">
        <v>85</v>
      </c>
      <c r="L48" s="58" t="s">
        <v>14</v>
      </c>
      <c r="M48" s="59">
        <v>805.26</v>
      </c>
      <c r="N48" s="59"/>
    </row>
    <row r="49" spans="11:14">
      <c r="K49" s="68" t="s">
        <v>86</v>
      </c>
      <c r="L49" s="69" t="s">
        <v>20</v>
      </c>
      <c r="M49" s="70">
        <v>1500</v>
      </c>
      <c r="N49" s="59"/>
    </row>
    <row r="50" spans="11:14">
      <c r="K50" s="72"/>
      <c r="L50" s="65" t="s">
        <v>21</v>
      </c>
      <c r="M50" s="66">
        <v>1500</v>
      </c>
    </row>
    <row r="51" spans="11:14">
      <c r="K51" s="24" t="s">
        <v>85</v>
      </c>
      <c r="L51" s="58" t="s">
        <v>23</v>
      </c>
      <c r="M51" s="58">
        <v>2415.2199999999998</v>
      </c>
    </row>
    <row r="52" spans="11:14">
      <c r="K52" s="68" t="s">
        <v>86</v>
      </c>
      <c r="L52" s="71" t="s">
        <v>57</v>
      </c>
      <c r="M52" s="70">
        <v>392</v>
      </c>
      <c r="N52" s="59">
        <f>358-392</f>
        <v>-34</v>
      </c>
    </row>
    <row r="53" spans="11:14">
      <c r="K53" s="6"/>
      <c r="L53" s="6"/>
      <c r="M53" s="5">
        <f>SUM(M47:M52)</f>
        <v>7612.48</v>
      </c>
      <c r="N53" s="5"/>
    </row>
    <row r="54" spans="11:14">
      <c r="L54" t="s">
        <v>87</v>
      </c>
      <c r="M54" s="67">
        <v>13361.29</v>
      </c>
      <c r="N54">
        <v>13630.9</v>
      </c>
    </row>
    <row r="55" spans="11:14">
      <c r="M55" s="67"/>
      <c r="N55" s="67">
        <f>N54-M54</f>
        <v>269.60999999999876</v>
      </c>
    </row>
    <row r="56" spans="11:14">
      <c r="M56" s="67"/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C516-20C8-41A1-BFEA-8853193EAFD4}">
  <dimension ref="A1:S28"/>
  <sheetViews>
    <sheetView tabSelected="1" workbookViewId="0">
      <selection activeCell="B7" sqref="B7:B12"/>
    </sheetView>
  </sheetViews>
  <sheetFormatPr defaultRowHeight="14.4"/>
  <cols>
    <col min="1" max="1" width="22.77734375" customWidth="1"/>
    <col min="2" max="2" width="11.44140625" bestFit="1" customWidth="1"/>
    <col min="3" max="3" width="10.109375" bestFit="1" customWidth="1"/>
    <col min="4" max="4" width="10.77734375" bestFit="1" customWidth="1"/>
    <col min="5" max="5" width="10" bestFit="1" customWidth="1"/>
    <col min="6" max="6" width="10.109375" bestFit="1" customWidth="1"/>
    <col min="9" max="9" width="10" bestFit="1" customWidth="1"/>
  </cols>
  <sheetData>
    <row r="1" spans="1:15">
      <c r="A1" s="91" t="s">
        <v>89</v>
      </c>
      <c r="B1" s="92">
        <v>27770</v>
      </c>
      <c r="C1" s="49" t="s">
        <v>93</v>
      </c>
      <c r="E1">
        <v>29034.58</v>
      </c>
      <c r="F1" s="75"/>
    </row>
    <row r="2" spans="1:15">
      <c r="A2" s="91" t="s">
        <v>90</v>
      </c>
      <c r="B2" s="93">
        <v>14000</v>
      </c>
      <c r="C2" s="82" t="s">
        <v>93</v>
      </c>
      <c r="D2" t="s">
        <v>95</v>
      </c>
      <c r="M2" t="s">
        <v>121</v>
      </c>
    </row>
    <row r="3" spans="1:15">
      <c r="A3" s="39" t="s">
        <v>79</v>
      </c>
      <c r="B3" s="81">
        <v>0</v>
      </c>
      <c r="C3" s="49" t="s">
        <v>93</v>
      </c>
      <c r="D3" t="s">
        <v>96</v>
      </c>
      <c r="F3" s="75">
        <f>SUM(B2,B5,B6:B11)</f>
        <v>22063.289999999997</v>
      </c>
      <c r="N3" t="s">
        <v>58</v>
      </c>
      <c r="O3">
        <v>1000</v>
      </c>
    </row>
    <row r="4" spans="1:15">
      <c r="A4" s="39" t="s">
        <v>58</v>
      </c>
      <c r="B4" s="81">
        <v>0</v>
      </c>
      <c r="C4" s="49" t="s">
        <v>92</v>
      </c>
      <c r="D4" t="s">
        <v>96</v>
      </c>
    </row>
    <row r="5" spans="1:15">
      <c r="A5" s="95" t="s">
        <v>57</v>
      </c>
      <c r="B5" s="96">
        <v>496</v>
      </c>
      <c r="C5" s="49" t="s">
        <v>86</v>
      </c>
      <c r="D5" t="s">
        <v>96</v>
      </c>
    </row>
    <row r="6" spans="1:15">
      <c r="A6" s="97" t="s">
        <v>20</v>
      </c>
      <c r="B6" s="98">
        <v>600</v>
      </c>
      <c r="C6" s="49" t="s">
        <v>86</v>
      </c>
      <c r="D6" t="s">
        <v>96</v>
      </c>
    </row>
    <row r="7" spans="1:15">
      <c r="A7" s="24" t="s">
        <v>14</v>
      </c>
      <c r="B7" s="83">
        <v>1178.99</v>
      </c>
      <c r="C7" s="49" t="s">
        <v>94</v>
      </c>
      <c r="D7" t="s">
        <v>96</v>
      </c>
    </row>
    <row r="8" spans="1:15">
      <c r="A8" s="24" t="s">
        <v>91</v>
      </c>
      <c r="B8" s="83">
        <f>1464.1*2</f>
        <v>2928.2</v>
      </c>
      <c r="C8" s="49" t="s">
        <v>94</v>
      </c>
      <c r="D8" t="s">
        <v>96</v>
      </c>
      <c r="G8" s="41"/>
    </row>
    <row r="9" spans="1:15">
      <c r="A9" s="39" t="s">
        <v>23</v>
      </c>
      <c r="B9" s="81">
        <v>2860.1</v>
      </c>
      <c r="C9" s="49" t="s">
        <v>94</v>
      </c>
      <c r="D9" t="s">
        <v>96</v>
      </c>
      <c r="F9" s="75">
        <f>B9-2719.82</f>
        <v>140.27999999999975</v>
      </c>
      <c r="G9">
        <f>1210*2</f>
        <v>2420</v>
      </c>
    </row>
    <row r="10" spans="1:15">
      <c r="A10" s="39" t="s">
        <v>119</v>
      </c>
      <c r="B10" s="81">
        <v>0</v>
      </c>
      <c r="C10" s="49"/>
      <c r="I10" s="75">
        <f>B9-1681.3</f>
        <v>1178.8</v>
      </c>
    </row>
    <row r="11" spans="1:15">
      <c r="A11" s="24" t="s">
        <v>101</v>
      </c>
      <c r="B11" s="83">
        <v>0</v>
      </c>
      <c r="C11" s="49"/>
    </row>
    <row r="12" spans="1:15">
      <c r="A12" s="24" t="s">
        <v>149</v>
      </c>
      <c r="B12" s="83">
        <v>400</v>
      </c>
      <c r="C12" s="49"/>
    </row>
    <row r="13" spans="1:15">
      <c r="A13" s="68" t="s">
        <v>150</v>
      </c>
      <c r="B13" s="94">
        <v>399</v>
      </c>
      <c r="C13" s="49"/>
    </row>
    <row r="14" spans="1:15">
      <c r="A14" s="77" t="s">
        <v>97</v>
      </c>
      <c r="B14" s="78">
        <f>SUM(B3:B13)</f>
        <v>8862.2899999999991</v>
      </c>
      <c r="C14" s="49"/>
      <c r="F14">
        <f>7+6</f>
        <v>13</v>
      </c>
    </row>
    <row r="15" spans="1:15">
      <c r="A15" s="49" t="s">
        <v>68</v>
      </c>
      <c r="B15" s="76">
        <f>B1-B14</f>
        <v>18907.71</v>
      </c>
      <c r="C15" s="49"/>
      <c r="D15" s="75">
        <f>B7+B8+B9+3000</f>
        <v>9967.2899999999991</v>
      </c>
    </row>
    <row r="16" spans="1:15">
      <c r="A16" s="28" t="s">
        <v>98</v>
      </c>
      <c r="B16" s="79">
        <v>7000</v>
      </c>
      <c r="C16" s="49"/>
      <c r="D16" s="75">
        <f>9000-37000</f>
        <v>-28000</v>
      </c>
      <c r="H16" t="s">
        <v>102</v>
      </c>
      <c r="I16" s="75">
        <f>SUM(B4:B11)</f>
        <v>8063.2899999999991</v>
      </c>
    </row>
    <row r="17" spans="1:19">
      <c r="A17" s="77" t="s">
        <v>99</v>
      </c>
      <c r="B17" s="78">
        <f>B15-B16</f>
        <v>11907.71</v>
      </c>
      <c r="H17" t="s">
        <v>12</v>
      </c>
      <c r="I17" s="75">
        <v>8500</v>
      </c>
      <c r="J17" t="s">
        <v>42</v>
      </c>
      <c r="O17">
        <f>87*0.05</f>
        <v>4.3500000000000005</v>
      </c>
    </row>
    <row r="18" spans="1:19">
      <c r="A18" s="49"/>
      <c r="B18" s="49"/>
      <c r="E18">
        <f>5670-2085</f>
        <v>3585</v>
      </c>
      <c r="H18" t="s">
        <v>68</v>
      </c>
      <c r="I18" s="75">
        <f>100000-I16-I17</f>
        <v>83436.710000000006</v>
      </c>
    </row>
    <row r="19" spans="1:19">
      <c r="A19" s="49"/>
      <c r="B19" s="49"/>
      <c r="D19" s="75">
        <f>B14+6000</f>
        <v>14862.289999999999</v>
      </c>
      <c r="H19" t="s">
        <v>103</v>
      </c>
      <c r="I19" s="75">
        <f>I18-20000</f>
        <v>63436.710000000006</v>
      </c>
      <c r="N19">
        <v>2022</v>
      </c>
      <c r="S19">
        <f>95646+26454</f>
        <v>122100</v>
      </c>
    </row>
    <row r="20" spans="1:19">
      <c r="A20" t="s">
        <v>100</v>
      </c>
      <c r="B20" s="75">
        <f>+B7+B8+B9+B5+B6</f>
        <v>8063.2899999999991</v>
      </c>
      <c r="I20" s="75">
        <f>I19/2</f>
        <v>31718.355000000003</v>
      </c>
      <c r="M20" t="s">
        <v>138</v>
      </c>
      <c r="N20">
        <v>62650</v>
      </c>
      <c r="S20">
        <f>S19+8000</f>
        <v>130100</v>
      </c>
    </row>
    <row r="21" spans="1:19">
      <c r="C21" s="75">
        <f>B14+5700</f>
        <v>14562.289999999999</v>
      </c>
      <c r="M21" t="s">
        <v>139</v>
      </c>
      <c r="N21">
        <v>6000</v>
      </c>
      <c r="S21">
        <f>S20+4900</f>
        <v>135000</v>
      </c>
    </row>
    <row r="22" spans="1:19">
      <c r="M22" t="s">
        <v>144</v>
      </c>
      <c r="N22">
        <v>1500</v>
      </c>
    </row>
    <row r="23" spans="1:19">
      <c r="E23" s="84"/>
      <c r="H23" t="s">
        <v>104</v>
      </c>
      <c r="I23" s="75">
        <f>I20</f>
        <v>31718.355000000003</v>
      </c>
      <c r="J23" t="s">
        <v>42</v>
      </c>
      <c r="M23" t="s">
        <v>140</v>
      </c>
      <c r="N23">
        <v>2500</v>
      </c>
    </row>
    <row r="24" spans="1:19">
      <c r="H24" t="s">
        <v>105</v>
      </c>
      <c r="I24" s="75">
        <f>I20+I17</f>
        <v>40218.355000000003</v>
      </c>
      <c r="J24" t="s">
        <v>42</v>
      </c>
      <c r="M24" t="s">
        <v>141</v>
      </c>
      <c r="N24">
        <v>5000</v>
      </c>
      <c r="O24" t="s">
        <v>145</v>
      </c>
    </row>
    <row r="25" spans="1:19">
      <c r="E25" s="75">
        <f>SUM(B7:B12)</f>
        <v>7367.2899999999991</v>
      </c>
      <c r="H25" t="s">
        <v>106</v>
      </c>
      <c r="I25">
        <v>200</v>
      </c>
      <c r="J25" t="s">
        <v>42</v>
      </c>
      <c r="K25" t="s">
        <v>107</v>
      </c>
      <c r="M25" t="s">
        <v>146</v>
      </c>
      <c r="N25">
        <v>1000</v>
      </c>
      <c r="O25" t="s">
        <v>147</v>
      </c>
    </row>
    <row r="26" spans="1:19">
      <c r="B26">
        <v>13</v>
      </c>
      <c r="E26" s="75">
        <f>E25+5770</f>
        <v>13137.289999999999</v>
      </c>
      <c r="M26" t="s">
        <v>142</v>
      </c>
      <c r="N26">
        <v>1605</v>
      </c>
    </row>
    <row r="27" spans="1:19">
      <c r="N27">
        <f>N20-SUM(N21:N26)</f>
        <v>45045</v>
      </c>
    </row>
    <row r="28" spans="1:19">
      <c r="B28">
        <f>87*0.05</f>
        <v>4.3500000000000005</v>
      </c>
      <c r="M28" t="s">
        <v>143</v>
      </c>
      <c r="N28">
        <f>N27/2</f>
        <v>22522.5</v>
      </c>
      <c r="O28" t="s">
        <v>148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22CE-5A31-46A6-8656-66EF4CA791CC}">
  <dimension ref="A1:M33"/>
  <sheetViews>
    <sheetView workbookViewId="0">
      <selection activeCell="C23" sqref="C23:C25"/>
    </sheetView>
  </sheetViews>
  <sheetFormatPr defaultRowHeight="14.4"/>
  <cols>
    <col min="1" max="1" width="17.5546875" bestFit="1" customWidth="1"/>
    <col min="2" max="2" width="10.77734375" bestFit="1" customWidth="1"/>
    <col min="3" max="3" width="12.5546875" bestFit="1" customWidth="1"/>
  </cols>
  <sheetData>
    <row r="1" spans="1:8">
      <c r="A1" t="s">
        <v>151</v>
      </c>
      <c r="B1" t="s">
        <v>152</v>
      </c>
      <c r="C1" t="s">
        <v>153</v>
      </c>
      <c r="E1" t="s">
        <v>154</v>
      </c>
      <c r="H1" t="s">
        <v>155</v>
      </c>
    </row>
    <row r="2" spans="1:8">
      <c r="A2" s="1" t="s">
        <v>156</v>
      </c>
      <c r="B2" s="1">
        <v>15</v>
      </c>
      <c r="C2" s="1">
        <f>1350/15</f>
        <v>90</v>
      </c>
      <c r="D2" s="1">
        <f>C2*B2</f>
        <v>1350</v>
      </c>
      <c r="E2" s="1">
        <v>121</v>
      </c>
      <c r="F2" s="1">
        <f>E2*B2</f>
        <v>1815</v>
      </c>
      <c r="H2" s="41">
        <f>(E2-C2)/C2</f>
        <v>0.34444444444444444</v>
      </c>
    </row>
    <row r="3" spans="1:8">
      <c r="A3" s="1" t="s">
        <v>157</v>
      </c>
      <c r="B3" s="1">
        <v>8</v>
      </c>
      <c r="C3" s="1">
        <f>776/8</f>
        <v>97</v>
      </c>
      <c r="D3" s="1">
        <f t="shared" ref="D3:D4" si="0">C3*B3</f>
        <v>776</v>
      </c>
      <c r="E3" s="1">
        <v>125.5</v>
      </c>
      <c r="F3" s="1">
        <f t="shared" ref="F3:F5" si="1">E3*B3</f>
        <v>1004</v>
      </c>
      <c r="H3" s="41">
        <f t="shared" ref="H3:H4" si="2">(E3-C3)/C3</f>
        <v>0.29381443298969073</v>
      </c>
    </row>
    <row r="4" spans="1:8">
      <c r="A4" s="1" t="s">
        <v>158</v>
      </c>
      <c r="B4" s="1">
        <v>3</v>
      </c>
      <c r="C4" s="1">
        <f>345/3</f>
        <v>115</v>
      </c>
      <c r="D4" s="1">
        <f t="shared" si="0"/>
        <v>345</v>
      </c>
      <c r="E4" s="1">
        <v>132.5</v>
      </c>
      <c r="F4" s="1">
        <f t="shared" si="1"/>
        <v>397.5</v>
      </c>
      <c r="H4" s="41">
        <f t="shared" si="2"/>
        <v>0.15217391304347827</v>
      </c>
    </row>
    <row r="5" spans="1:8">
      <c r="A5" t="s">
        <v>159</v>
      </c>
      <c r="B5">
        <v>3</v>
      </c>
      <c r="E5">
        <v>127.5</v>
      </c>
      <c r="F5">
        <f t="shared" si="1"/>
        <v>382.5</v>
      </c>
    </row>
    <row r="6" spans="1:8" s="80" customFormat="1">
      <c r="D6" s="80">
        <f>SUM(D2:D4)</f>
        <v>2471</v>
      </c>
      <c r="F6" s="80">
        <f>SUM(F2:F4)</f>
        <v>3216.5</v>
      </c>
      <c r="G6" s="101">
        <f>F6/D6-1</f>
        <v>0.30169971671388107</v>
      </c>
    </row>
    <row r="7" spans="1:8">
      <c r="B7">
        <f>SUM(B2:B6)</f>
        <v>29</v>
      </c>
      <c r="C7">
        <f>B7*2</f>
        <v>58</v>
      </c>
      <c r="F7">
        <f>F6-D6</f>
        <v>745.5</v>
      </c>
    </row>
    <row r="14" spans="1:8">
      <c r="A14" t="s">
        <v>173</v>
      </c>
      <c r="B14" s="99">
        <f>123425.66</f>
        <v>123425.66</v>
      </c>
    </row>
    <row r="15" spans="1:8">
      <c r="A15" t="s">
        <v>160</v>
      </c>
      <c r="B15" s="99">
        <v>28000</v>
      </c>
    </row>
    <row r="16" spans="1:8">
      <c r="A16" t="s">
        <v>161</v>
      </c>
      <c r="B16" s="99">
        <f>B14-B15</f>
        <v>95425.66</v>
      </c>
    </row>
    <row r="18" spans="1:13">
      <c r="A18" t="s">
        <v>162</v>
      </c>
      <c r="B18">
        <f>SUM(B19:B27)</f>
        <v>59200</v>
      </c>
    </row>
    <row r="19" spans="1:13">
      <c r="A19" t="s">
        <v>163</v>
      </c>
      <c r="B19">
        <v>3200</v>
      </c>
      <c r="C19" t="s">
        <v>171</v>
      </c>
    </row>
    <row r="20" spans="1:13">
      <c r="A20" t="s">
        <v>164</v>
      </c>
      <c r="B20">
        <v>16000</v>
      </c>
      <c r="C20" t="s">
        <v>174</v>
      </c>
    </row>
    <row r="21" spans="1:13">
      <c r="A21" t="s">
        <v>165</v>
      </c>
      <c r="B21">
        <v>12000</v>
      </c>
      <c r="C21" t="s">
        <v>174</v>
      </c>
    </row>
    <row r="22" spans="1:13">
      <c r="A22" t="s">
        <v>166</v>
      </c>
      <c r="B22">
        <v>1300</v>
      </c>
      <c r="C22" t="s">
        <v>174</v>
      </c>
    </row>
    <row r="23" spans="1:13">
      <c r="A23" t="s">
        <v>140</v>
      </c>
      <c r="B23">
        <v>3200</v>
      </c>
      <c r="C23" t="s">
        <v>174</v>
      </c>
    </row>
    <row r="24" spans="1:13">
      <c r="A24" t="s">
        <v>167</v>
      </c>
      <c r="B24">
        <v>2500</v>
      </c>
      <c r="C24" t="s">
        <v>174</v>
      </c>
    </row>
    <row r="25" spans="1:13">
      <c r="A25" t="s">
        <v>168</v>
      </c>
      <c r="B25">
        <v>7000</v>
      </c>
      <c r="C25" t="s">
        <v>174</v>
      </c>
    </row>
    <row r="26" spans="1:13">
      <c r="A26" t="s">
        <v>169</v>
      </c>
      <c r="B26">
        <v>7000</v>
      </c>
      <c r="C26" t="s">
        <v>174</v>
      </c>
    </row>
    <row r="27" spans="1:13">
      <c r="A27" t="s">
        <v>139</v>
      </c>
      <c r="B27">
        <v>7000</v>
      </c>
      <c r="C27" t="s">
        <v>174</v>
      </c>
    </row>
    <row r="29" spans="1:13">
      <c r="A29" t="s">
        <v>161</v>
      </c>
      <c r="B29" s="100">
        <f>B16-B18</f>
        <v>36225.660000000003</v>
      </c>
    </row>
    <row r="30" spans="1:13">
      <c r="A30" t="s">
        <v>170</v>
      </c>
      <c r="B30" s="100">
        <f>B29/2</f>
        <v>18112.830000000002</v>
      </c>
      <c r="C30" s="100">
        <f>B30/2</f>
        <v>9056.4150000000009</v>
      </c>
    </row>
    <row r="31" spans="1:13">
      <c r="M31">
        <f>35000-8000</f>
        <v>27000</v>
      </c>
    </row>
    <row r="32" spans="1:13">
      <c r="A32" t="s">
        <v>172</v>
      </c>
      <c r="B32" s="100">
        <f>B30+4000</f>
        <v>22112.83</v>
      </c>
    </row>
    <row r="33" spans="1:2">
      <c r="A33" t="s">
        <v>175</v>
      </c>
      <c r="B33" s="100">
        <v>21000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E839-F84B-48EC-BFC8-EA01AE5E00FE}">
  <dimension ref="A2:F22"/>
  <sheetViews>
    <sheetView workbookViewId="0">
      <selection activeCell="J19" sqref="J19"/>
    </sheetView>
  </sheetViews>
  <sheetFormatPr defaultRowHeight="14.4"/>
  <cols>
    <col min="1" max="1" width="25.5546875" bestFit="1" customWidth="1"/>
    <col min="2" max="6" width="12.88671875" customWidth="1"/>
  </cols>
  <sheetData>
    <row r="2" spans="1:6">
      <c r="A2" t="s">
        <v>122</v>
      </c>
      <c r="B2" s="85">
        <v>624692</v>
      </c>
      <c r="D2" s="85"/>
    </row>
    <row r="4" spans="1:6">
      <c r="A4" t="s">
        <v>123</v>
      </c>
    </row>
    <row r="5" spans="1:6">
      <c r="A5" t="s">
        <v>124</v>
      </c>
      <c r="B5" s="85">
        <f>B2*0.7</f>
        <v>437284.39999999997</v>
      </c>
    </row>
    <row r="6" spans="1:6">
      <c r="A6" t="s">
        <v>125</v>
      </c>
      <c r="B6" s="85">
        <f>B5*7.5%</f>
        <v>32796.329999999994</v>
      </c>
    </row>
    <row r="7" spans="1:6">
      <c r="A7" t="s">
        <v>126</v>
      </c>
      <c r="B7" s="87">
        <f>B6/12</f>
        <v>2733.0274999999997</v>
      </c>
    </row>
    <row r="10" spans="1:6">
      <c r="A10" t="s">
        <v>127</v>
      </c>
    </row>
    <row r="11" spans="1:6">
      <c r="A11" t="s">
        <v>124</v>
      </c>
      <c r="B11" s="85">
        <f>B2*0.7</f>
        <v>437284.39999999997</v>
      </c>
    </row>
    <row r="12" spans="1:6">
      <c r="A12" t="s">
        <v>129</v>
      </c>
      <c r="B12" s="88">
        <v>0.17499999999999999</v>
      </c>
      <c r="C12" s="89">
        <v>0.19500000000000001</v>
      </c>
      <c r="D12" s="89">
        <v>0.215</v>
      </c>
      <c r="E12" s="89">
        <v>0.23499999999999999</v>
      </c>
      <c r="F12" s="89">
        <v>0.27500000000000002</v>
      </c>
    </row>
    <row r="13" spans="1:6">
      <c r="A13" t="s">
        <v>130</v>
      </c>
      <c r="B13" s="86">
        <v>7.4999999999999997E-2</v>
      </c>
      <c r="C13" s="86">
        <v>7.4999999999999997E-2</v>
      </c>
      <c r="D13" s="86">
        <v>7.4999999999999997E-2</v>
      </c>
      <c r="E13" s="86">
        <v>7.4999999999999997E-2</v>
      </c>
      <c r="F13" s="86">
        <v>7.4999999999999997E-2</v>
      </c>
    </row>
    <row r="14" spans="1:6">
      <c r="A14" t="s">
        <v>131</v>
      </c>
      <c r="B14" s="41">
        <f>B12-B13</f>
        <v>9.9999999999999992E-2</v>
      </c>
      <c r="C14" s="41">
        <f t="shared" ref="C14:F14" si="0">C12-C13</f>
        <v>0.12000000000000001</v>
      </c>
      <c r="D14" s="41">
        <f t="shared" si="0"/>
        <v>0.14000000000000001</v>
      </c>
      <c r="E14" s="41">
        <f t="shared" si="0"/>
        <v>0.15999999999999998</v>
      </c>
      <c r="F14" s="41">
        <f t="shared" si="0"/>
        <v>0.2</v>
      </c>
    </row>
    <row r="15" spans="1:6">
      <c r="A15" t="s">
        <v>132</v>
      </c>
      <c r="B15" s="85">
        <f>$B$11*B14</f>
        <v>43728.439999999995</v>
      </c>
      <c r="C15" s="85">
        <f t="shared" ref="C15:F15" si="1">$B$11*C14</f>
        <v>52474.127999999997</v>
      </c>
      <c r="D15" s="85">
        <f t="shared" si="1"/>
        <v>61219.815999999999</v>
      </c>
      <c r="E15" s="85">
        <f t="shared" si="1"/>
        <v>69965.503999999986</v>
      </c>
      <c r="F15" s="85">
        <f t="shared" si="1"/>
        <v>87456.88</v>
      </c>
    </row>
    <row r="16" spans="1:6">
      <c r="A16" t="s">
        <v>128</v>
      </c>
      <c r="B16" s="85">
        <v>218.4</v>
      </c>
      <c r="C16" s="85">
        <v>218.4</v>
      </c>
      <c r="D16" s="85">
        <v>218.4</v>
      </c>
      <c r="E16" s="85">
        <v>218.4</v>
      </c>
      <c r="F16" s="85">
        <v>218.4</v>
      </c>
    </row>
    <row r="17" spans="1:6">
      <c r="A17" t="s">
        <v>133</v>
      </c>
      <c r="B17">
        <v>351.72</v>
      </c>
      <c r="C17">
        <v>351.72</v>
      </c>
      <c r="D17">
        <v>351.72</v>
      </c>
      <c r="E17">
        <v>351.72</v>
      </c>
      <c r="F17">
        <v>351.72</v>
      </c>
    </row>
    <row r="18" spans="1:6">
      <c r="A18" t="s">
        <v>134</v>
      </c>
      <c r="B18" s="85">
        <f>B15-B16-B17</f>
        <v>43158.319999999992</v>
      </c>
      <c r="C18" s="85">
        <f t="shared" ref="C18:F18" si="2">C15-C16-C17</f>
        <v>51904.007999999994</v>
      </c>
      <c r="D18" s="85">
        <f t="shared" si="2"/>
        <v>60649.695999999996</v>
      </c>
      <c r="E18" s="85">
        <f t="shared" si="2"/>
        <v>69395.383999999991</v>
      </c>
      <c r="F18" s="85">
        <f t="shared" si="2"/>
        <v>86886.760000000009</v>
      </c>
    </row>
    <row r="19" spans="1:6">
      <c r="A19" t="s">
        <v>135</v>
      </c>
      <c r="B19" s="87">
        <f>B18/12</f>
        <v>3596.5266666666662</v>
      </c>
      <c r="C19" s="87">
        <f t="shared" ref="C19:F19" si="3">C18/12</f>
        <v>4325.3339999999998</v>
      </c>
      <c r="D19" s="87">
        <f t="shared" si="3"/>
        <v>5054.141333333333</v>
      </c>
      <c r="E19" s="87">
        <f t="shared" si="3"/>
        <v>5782.9486666666662</v>
      </c>
      <c r="F19" s="87">
        <f t="shared" si="3"/>
        <v>7240.5633333333344</v>
      </c>
    </row>
    <row r="20" spans="1:6">
      <c r="A20" t="s">
        <v>137</v>
      </c>
      <c r="B20" s="85">
        <f>$B$7+B19</f>
        <v>6329.5541666666659</v>
      </c>
      <c r="C20" s="85">
        <f t="shared" ref="C20:F20" si="4">$B$7+C19</f>
        <v>7058.3614999999991</v>
      </c>
      <c r="D20" s="85">
        <f t="shared" si="4"/>
        <v>7787.1688333333332</v>
      </c>
      <c r="E20" s="85">
        <f t="shared" si="4"/>
        <v>8515.9761666666654</v>
      </c>
      <c r="F20" s="85">
        <f t="shared" si="4"/>
        <v>9973.5908333333336</v>
      </c>
    </row>
    <row r="22" spans="1:6">
      <c r="A22" t="s">
        <v>136</v>
      </c>
      <c r="C22" s="90">
        <f>C19-$B$19</f>
        <v>728.80733333333364</v>
      </c>
      <c r="D22" s="90">
        <f t="shared" ref="D22:F22" si="5">D19-$B$19</f>
        <v>1457.6146666666668</v>
      </c>
      <c r="E22" s="90">
        <f t="shared" si="5"/>
        <v>2186.422</v>
      </c>
      <c r="F22" s="90">
        <f t="shared" si="5"/>
        <v>3644.0366666666682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workbookViewId="0">
      <selection activeCell="H13" sqref="H13"/>
    </sheetView>
  </sheetViews>
  <sheetFormatPr defaultRowHeight="14.4"/>
  <cols>
    <col min="1" max="1" width="18.44140625" customWidth="1"/>
    <col min="2" max="2" width="13.44140625" customWidth="1"/>
  </cols>
  <sheetData>
    <row r="1" spans="1:3">
      <c r="A1" t="s">
        <v>60</v>
      </c>
      <c r="B1" s="37">
        <v>103156.82</v>
      </c>
    </row>
    <row r="2" spans="1:3">
      <c r="A2" s="33" t="s">
        <v>61</v>
      </c>
      <c r="B2" s="20">
        <f>SUM(B3:B10)</f>
        <v>16996.329999999998</v>
      </c>
    </row>
    <row r="3" spans="1:3">
      <c r="A3" s="34" t="s">
        <v>59</v>
      </c>
      <c r="B3" s="35">
        <v>1000</v>
      </c>
    </row>
    <row r="4" spans="1:3">
      <c r="A4" s="34" t="s">
        <v>14</v>
      </c>
      <c r="B4" s="35">
        <v>732.05</v>
      </c>
      <c r="C4" t="s">
        <v>62</v>
      </c>
    </row>
    <row r="5" spans="1:3">
      <c r="A5" s="34" t="s">
        <v>20</v>
      </c>
      <c r="B5" s="35">
        <v>1500</v>
      </c>
      <c r="C5" t="s">
        <v>65</v>
      </c>
    </row>
    <row r="6" spans="1:3">
      <c r="A6" s="34" t="s">
        <v>21</v>
      </c>
      <c r="B6" s="35">
        <v>1500</v>
      </c>
    </row>
    <row r="7" spans="1:3">
      <c r="A7" s="34" t="s">
        <v>23</v>
      </c>
      <c r="B7" s="35">
        <v>2174.88</v>
      </c>
      <c r="C7" t="s">
        <v>63</v>
      </c>
    </row>
    <row r="8" spans="1:3">
      <c r="A8" s="36" t="s">
        <v>67</v>
      </c>
      <c r="B8" s="35">
        <v>6954.78</v>
      </c>
      <c r="C8" t="s">
        <v>66</v>
      </c>
    </row>
    <row r="9" spans="1:3">
      <c r="A9" s="36" t="s">
        <v>57</v>
      </c>
      <c r="B9" s="35">
        <v>355</v>
      </c>
      <c r="C9" t="s">
        <v>64</v>
      </c>
    </row>
    <row r="10" spans="1:3">
      <c r="A10" s="36" t="s">
        <v>58</v>
      </c>
      <c r="B10" s="35">
        <v>2779.62</v>
      </c>
    </row>
    <row r="11" spans="1:3">
      <c r="A11" s="33" t="s">
        <v>68</v>
      </c>
      <c r="B11" s="20">
        <f>B1-B2</f>
        <v>86160.49</v>
      </c>
    </row>
    <row r="12" spans="1:3">
      <c r="A12" s="24" t="s">
        <v>69</v>
      </c>
      <c r="B12" s="38" t="s">
        <v>70</v>
      </c>
    </row>
    <row r="13" spans="1:3">
      <c r="B13" s="20">
        <f>B11+B12</f>
        <v>66160.490000000005</v>
      </c>
    </row>
    <row r="15" spans="1:3">
      <c r="A15" t="s">
        <v>71</v>
      </c>
    </row>
    <row r="16" spans="1:3">
      <c r="A16" s="34" t="s">
        <v>59</v>
      </c>
      <c r="B16" s="35">
        <v>1000</v>
      </c>
      <c r="C16" s="1"/>
    </row>
    <row r="17" spans="1:7">
      <c r="A17" s="34" t="s">
        <v>14</v>
      </c>
      <c r="B17" s="35">
        <v>732.05</v>
      </c>
      <c r="C17" s="1"/>
    </row>
    <row r="18" spans="1:7">
      <c r="A18" s="34" t="s">
        <v>20</v>
      </c>
      <c r="B18" s="35">
        <v>1500</v>
      </c>
      <c r="C18" s="1"/>
    </row>
    <row r="19" spans="1:7">
      <c r="A19" s="34" t="s">
        <v>21</v>
      </c>
      <c r="B19" s="35">
        <v>1500</v>
      </c>
      <c r="C19" s="1"/>
    </row>
    <row r="20" spans="1:7">
      <c r="A20" s="34" t="s">
        <v>23</v>
      </c>
      <c r="B20">
        <v>2193.92</v>
      </c>
      <c r="C20" s="1"/>
      <c r="D20" t="s">
        <v>73</v>
      </c>
      <c r="G20" s="41"/>
    </row>
    <row r="21" spans="1:7">
      <c r="A21" s="36" t="s">
        <v>57</v>
      </c>
      <c r="B21" s="35">
        <v>355</v>
      </c>
      <c r="C21" s="1"/>
    </row>
    <row r="22" spans="1:7">
      <c r="A22" s="36" t="s">
        <v>58</v>
      </c>
      <c r="B22" s="35">
        <v>2779.62</v>
      </c>
      <c r="C22" s="1"/>
    </row>
    <row r="23" spans="1:7">
      <c r="A23" s="39" t="s">
        <v>25</v>
      </c>
      <c r="B23" s="40">
        <f>SUM(B16:B22)</f>
        <v>10060.59</v>
      </c>
    </row>
    <row r="24" spans="1:7">
      <c r="B24" s="20">
        <f>B13-B23</f>
        <v>56099.900000000009</v>
      </c>
    </row>
    <row r="25" spans="1:7">
      <c r="A25" t="s">
        <v>72</v>
      </c>
    </row>
    <row r="26" spans="1:7">
      <c r="A26" t="s">
        <v>74</v>
      </c>
    </row>
    <row r="27" spans="1:7">
      <c r="A27" t="s">
        <v>75</v>
      </c>
    </row>
    <row r="28" spans="1:7">
      <c r="A28" t="s">
        <v>76</v>
      </c>
    </row>
    <row r="29" spans="1:7">
      <c r="A29" t="s">
        <v>77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8"/>
  <sheetViews>
    <sheetView workbookViewId="0">
      <selection activeCell="G29" sqref="G29"/>
    </sheetView>
  </sheetViews>
  <sheetFormatPr defaultRowHeight="14.4"/>
  <sheetData>
    <row r="2" spans="1:2">
      <c r="A2" t="s">
        <v>10</v>
      </c>
      <c r="B2">
        <v>1500</v>
      </c>
    </row>
    <row r="3" spans="1:2">
      <c r="A3" t="s">
        <v>11</v>
      </c>
      <c r="B3">
        <v>818.09</v>
      </c>
    </row>
    <row r="4" spans="1:2">
      <c r="A4" t="s">
        <v>12</v>
      </c>
      <c r="B4">
        <v>1500</v>
      </c>
    </row>
    <row r="5" spans="1:2">
      <c r="A5" t="s">
        <v>13</v>
      </c>
      <c r="B5">
        <v>1005.79</v>
      </c>
    </row>
    <row r="6" spans="1:2">
      <c r="A6" t="s">
        <v>14</v>
      </c>
      <c r="B6">
        <v>665.5</v>
      </c>
    </row>
    <row r="7" spans="1:2">
      <c r="A7" t="s">
        <v>15</v>
      </c>
      <c r="B7">
        <v>249</v>
      </c>
    </row>
    <row r="8" spans="1:2">
      <c r="B8">
        <f>SUM(B2:B7)</f>
        <v>5738.38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AC2E-5294-4D4C-9C4B-36090420DD7B}">
  <dimension ref="A14:D28"/>
  <sheetViews>
    <sheetView workbookViewId="0">
      <selection activeCell="C21" sqref="C21:C22"/>
    </sheetView>
  </sheetViews>
  <sheetFormatPr defaultRowHeight="14.4"/>
  <cols>
    <col min="1" max="1" width="18.109375" customWidth="1"/>
    <col min="2" max="2" width="8.6640625" bestFit="1" customWidth="1"/>
  </cols>
  <sheetData>
    <row r="14" spans="1:3">
      <c r="A14" t="s">
        <v>108</v>
      </c>
      <c r="B14">
        <f>2*32025</f>
        <v>64050</v>
      </c>
    </row>
    <row r="15" spans="1:3">
      <c r="A15" t="s">
        <v>109</v>
      </c>
      <c r="B15" s="6">
        <v>-1000</v>
      </c>
      <c r="C15" t="s">
        <v>42</v>
      </c>
    </row>
    <row r="16" spans="1:3">
      <c r="A16" t="s">
        <v>110</v>
      </c>
      <c r="B16" s="6">
        <v>-10000</v>
      </c>
      <c r="C16" t="s">
        <v>42</v>
      </c>
    </row>
    <row r="17" spans="1:4">
      <c r="A17" t="s">
        <v>111</v>
      </c>
      <c r="B17" s="6">
        <v>-10000</v>
      </c>
      <c r="C17" t="s">
        <v>42</v>
      </c>
    </row>
    <row r="18" spans="1:4">
      <c r="A18" t="s">
        <v>112</v>
      </c>
      <c r="B18" s="6">
        <f>-23000</f>
        <v>-23000</v>
      </c>
      <c r="C18">
        <v>22000</v>
      </c>
      <c r="D18" t="s">
        <v>120</v>
      </c>
    </row>
    <row r="19" spans="1:4">
      <c r="A19" t="s">
        <v>113</v>
      </c>
      <c r="B19" s="6">
        <v>-12000</v>
      </c>
      <c r="C19" t="s">
        <v>42</v>
      </c>
    </row>
    <row r="20" spans="1:4">
      <c r="A20" t="s">
        <v>114</v>
      </c>
      <c r="B20" s="6">
        <v>-5000</v>
      </c>
      <c r="C20" t="s">
        <v>42</v>
      </c>
    </row>
    <row r="21" spans="1:4">
      <c r="A21" t="s">
        <v>115</v>
      </c>
      <c r="B21" s="6">
        <v>-2000</v>
      </c>
      <c r="C21">
        <v>2000</v>
      </c>
    </row>
    <row r="22" spans="1:4">
      <c r="A22" t="s">
        <v>116</v>
      </c>
      <c r="B22" s="6">
        <v>-1500</v>
      </c>
      <c r="C22">
        <v>1500</v>
      </c>
    </row>
    <row r="23" spans="1:4">
      <c r="A23" s="80" t="s">
        <v>68</v>
      </c>
      <c r="B23" s="80">
        <f>SUM(B14:B22)</f>
        <v>-450</v>
      </c>
    </row>
    <row r="28" spans="1:4">
      <c r="A28" t="s">
        <v>117</v>
      </c>
      <c r="B28" t="s">
        <v>118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Paleo 2023</vt:lpstr>
      <vt:lpstr>Pension fund calcs</vt:lpstr>
      <vt:lpstr>2018 bonus</vt:lpstr>
      <vt:lpstr>debits</vt:lpstr>
      <vt:lpstr>2020 Bonus</vt:lpstr>
    </vt:vector>
  </TitlesOfParts>
  <Company>Nedbank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Reddy, K. (Kaajal)</dc:creator>
  <cp:lastModifiedBy>Reddy, K. (Kaajal)</cp:lastModifiedBy>
  <dcterms:created xsi:type="dcterms:W3CDTF">2017-01-20T05:57:00Z</dcterms:created>
  <dcterms:modified xsi:type="dcterms:W3CDTF">2023-03-29T05:59:46Z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etDate">
    <vt:lpwstr>2021-07-20T08:29:42Z</vt:lpwstr>
  </property>
  <property fmtid="{D5CDD505-2E9C-101B-9397-08002B2CF9AE}" pid="4" name="MSIP_Label_fb3ff2d6-7c2c-441b-97b8-52c111077da7_Method">
    <vt:lpwstr>Standard</vt:lpwstr>
  </property>
  <property fmtid="{D5CDD505-2E9C-101B-9397-08002B2CF9AE}" pid="5" name="MSIP_Label_fb3ff2d6-7c2c-441b-97b8-52c111077da7_Name">
    <vt:lpwstr>fb3ff2d6-7c2c-441b-97b8-52c111077da7</vt:lpwstr>
  </property>
  <property fmtid="{D5CDD505-2E9C-101B-9397-08002B2CF9AE}" pid="6" name="MSIP_Label_fb3ff2d6-7c2c-441b-97b8-52c111077da7_SiteId">
    <vt:lpwstr>0b1d23d8-10d1-4093-8cb7-fd0bb32f81e1</vt:lpwstr>
  </property>
  <property fmtid="{D5CDD505-2E9C-101B-9397-08002B2CF9AE}" pid="7" name="MSIP_Label_fb3ff2d6-7c2c-441b-97b8-52c111077da7_ActionId">
    <vt:lpwstr/>
  </property>
  <property fmtid="{D5CDD505-2E9C-101B-9397-08002B2CF9AE}" pid="8" name="MSIP_Label_fb3ff2d6-7c2c-441b-97b8-52c111077da7_ContentBits">
    <vt:lpwstr>0</vt:lpwstr>
  </property>
</Properties>
</file>